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pm.MEINERTZ\Desktop\Ydelsesberegner\Final calculators\"/>
    </mc:Choice>
  </mc:AlternateContent>
  <xr:revisionPtr revIDLastSave="0" documentId="8_{4352194E-779F-4717-8719-232A3CEF39BF}" xr6:coauthVersionLast="47" xr6:coauthVersionMax="47" xr10:uidLastSave="{00000000-0000-0000-0000-000000000000}"/>
  <workbookProtection workbookAlgorithmName="SHA-512" workbookHashValue="/b+N0v+U5Ahzar1tgFiFUDYlLQpz039Nh2eYGm9qJl14hmtZmqeMXpBYNuldBDNiER0B6PZU69WwsFWBNu47ow==" workbookSaltValue="aGtU/Ne/n9WXFfScsVQ88w==" workbookSpinCount="100000" lockStructure="1"/>
  <bookViews>
    <workbookView xWindow="150" yWindow="60" windowWidth="22530" windowHeight="20820" tabRatio="912" firstSheet="4" activeTab="4" xr2:uid="{D327D7C1-748B-4C6B-A578-75488019F8F7}"/>
  </bookViews>
  <sheets>
    <sheet name="FINNED TUBE" sheetId="10" state="hidden" r:id="rId1"/>
    <sheet name="PLAIN TUBE" sheetId="11" state="hidden" r:id="rId2"/>
    <sheet name="SKYLINE" sheetId="1" state="hidden" r:id="rId3"/>
    <sheet name="SKYLINE PLINT" sheetId="12" state="hidden" r:id="rId4"/>
    <sheet name="L-LINE" sheetId="14" r:id="rId5"/>
    <sheet name="PROLINE" sheetId="13" state="hidden" r:id="rId6"/>
    <sheet name="KONVEKTOR_RADIATOR" sheetId="5" state="hidden" r:id="rId7"/>
    <sheet name="Data ALL" sheetId="15" state="hidden" r:id="rId8"/>
    <sheet name="KONRAD_DATA" sheetId="6" state="hidden" r:id="rId9"/>
    <sheet name="Dropdown" sheetId="2" state="hidden" r:id="rId10"/>
    <sheet name="SPROG" sheetId="7" state="hidden" r:id="rId11"/>
    <sheet name="IKONER" sheetId="9" state="hidden" r:id="rId12"/>
  </sheets>
  <definedNames>
    <definedName name="_xlnm._FilterDatabase" localSheetId="9" hidden="1">Dropdown!$C$1:$C$6</definedName>
    <definedName name="_xlnm._FilterDatabase" localSheetId="8" hidden="1">KONRAD_DATA!$D$14:$P$15</definedName>
    <definedName name="CONVEC_LENGTH">#REF!</definedName>
    <definedName name="CONVEC_TEMP">#REF!</definedName>
    <definedName name="CONVEC_YDELSE">#REF!</definedName>
    <definedName name="Depth">Dropdown!$C$1:$C$6</definedName>
    <definedName name="GLAT_FREM">#REF!</definedName>
    <definedName name="GLAT_RETUR">#REF!</definedName>
    <definedName name="GLAT_STUE">#REF!</definedName>
    <definedName name="GLAT_YDELSE">#REF!</definedName>
    <definedName name="Højde">Dropdown!$E$1:$E$3</definedName>
    <definedName name="KONRAD_FREM">KONRAD_DATA!#REF!</definedName>
    <definedName name="KONRAD_HEIGHT" localSheetId="11">#REF!</definedName>
    <definedName name="KONRAD_HEIGHT" localSheetId="10">#REF!</definedName>
    <definedName name="KONRAD_HEIGHT">KONRAD_DATA!#REF!</definedName>
    <definedName name="KONRAD_RETUR">KONRAD_DATA!#REF!</definedName>
    <definedName name="KONRAD_STUE">KONRAD_DATA!#REF!</definedName>
    <definedName name="KONRAD_TYPE" localSheetId="11">#REF!</definedName>
    <definedName name="KONRAD_TYPE" localSheetId="10">#REF!</definedName>
    <definedName name="KONRAD_TYPE">KONRAD_DATA!$D$14:$R$15</definedName>
    <definedName name="KONRAD_YDELSER" localSheetId="11">#REF!</definedName>
    <definedName name="KONRAD_YDELSER" localSheetId="10">#REF!</definedName>
    <definedName name="KONRAD_YDELSER">KONRAD_DATA!$C$33:$R$47</definedName>
    <definedName name="LLINE_YDELSER">#REF!</definedName>
    <definedName name="_xlnm.Print_Area" localSheetId="6">KONVEKTOR_RADIATOR!$B$3:$G$39</definedName>
    <definedName name="PRO_HEIGHT">#REF!</definedName>
    <definedName name="PRO_HEIGHT_FACTOR">#REF!</definedName>
    <definedName name="PRO_YDELSER">#REF!</definedName>
    <definedName name="RIB_FREM">#REF!</definedName>
    <definedName name="RIB_RETUR">#REF!</definedName>
    <definedName name="RIB_STUE">#REF!</definedName>
    <definedName name="RIB_YDELSE">#REF!</definedName>
    <definedName name="SKY_YDELSER">#REF!</definedName>
    <definedName name="SPROG">SPROG!$C$7:$E$7</definedName>
    <definedName name="VER_FAKTOR">#REF!</definedName>
    <definedName name="VER_LENGTH">#REF!</definedName>
    <definedName name="WATTBTU">SPROG!$B$4:$B$5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3" l="1"/>
  <c r="F5" i="13"/>
  <c r="B4" i="12"/>
  <c r="B4" i="1"/>
  <c r="B4" i="11"/>
  <c r="B4" i="14"/>
  <c r="B4" i="13"/>
  <c r="B3" i="13"/>
  <c r="B27" i="5"/>
  <c r="B23" i="5"/>
  <c r="B20" i="5"/>
  <c r="B16" i="5"/>
  <c r="B13" i="5"/>
  <c r="B9" i="5"/>
  <c r="B4" i="5"/>
  <c r="B26" i="13"/>
  <c r="B27" i="13"/>
  <c r="B28" i="13"/>
  <c r="B29" i="13"/>
  <c r="B8" i="13"/>
  <c r="D15" i="5"/>
  <c r="F15" i="5" s="1"/>
  <c r="D14" i="5"/>
  <c r="F14" i="5" s="1"/>
  <c r="R33" i="6"/>
  <c r="Q33" i="6"/>
  <c r="R32" i="6"/>
  <c r="Q32" i="6"/>
  <c r="A35" i="6"/>
  <c r="A36" i="6" s="1"/>
  <c r="A37" i="6" s="1"/>
  <c r="A38" i="6" s="1"/>
  <c r="A39" i="6" s="1"/>
  <c r="A40" i="6" s="1"/>
  <c r="A41" i="6" s="1"/>
  <c r="A42" i="6" s="1"/>
  <c r="A43" i="6" s="1"/>
  <c r="A44" i="6" s="1"/>
  <c r="A45" i="6" s="1"/>
  <c r="A46" i="6" s="1"/>
  <c r="A47" i="6" s="1"/>
  <c r="O75" i="15"/>
  <c r="O76" i="15"/>
  <c r="O77" i="15"/>
  <c r="O78" i="15"/>
  <c r="O80" i="15"/>
  <c r="A26" i="15"/>
  <c r="A27" i="15"/>
  <c r="A28" i="15"/>
  <c r="A29" i="15"/>
  <c r="A30" i="15"/>
  <c r="A31" i="15"/>
  <c r="A32" i="15"/>
  <c r="A33" i="15"/>
  <c r="A34" i="15"/>
  <c r="A35" i="15"/>
  <c r="A36" i="15"/>
  <c r="A37" i="15"/>
  <c r="F5" i="5"/>
  <c r="F5" i="1"/>
  <c r="G5" i="1"/>
  <c r="F8" i="5"/>
  <c r="F8" i="13"/>
  <c r="F8" i="14"/>
  <c r="D23" i="14"/>
  <c r="F8" i="12"/>
  <c r="F8" i="1"/>
  <c r="F8" i="11"/>
  <c r="F8" i="10"/>
  <c r="D33" i="5"/>
  <c r="D32" i="5"/>
  <c r="D31" i="5"/>
  <c r="D34" i="5"/>
  <c r="D23" i="13"/>
  <c r="G8" i="13"/>
  <c r="E8" i="13"/>
  <c r="D8" i="13"/>
  <c r="E8" i="1"/>
  <c r="E8" i="5"/>
  <c r="E8" i="14"/>
  <c r="E8" i="12"/>
  <c r="G8" i="5"/>
  <c r="D8" i="5"/>
  <c r="B8" i="5"/>
  <c r="G8" i="14"/>
  <c r="D8" i="14"/>
  <c r="B8" i="14"/>
  <c r="G8" i="12"/>
  <c r="D8" i="12"/>
  <c r="B8" i="12"/>
  <c r="G8" i="1"/>
  <c r="D8" i="1"/>
  <c r="B8" i="1"/>
  <c r="G8" i="11"/>
  <c r="D8" i="11"/>
  <c r="B8" i="11"/>
  <c r="B38" i="5"/>
  <c r="B39" i="5"/>
  <c r="B37" i="5"/>
  <c r="B36" i="5"/>
  <c r="B28" i="14"/>
  <c r="B27" i="14"/>
  <c r="B26" i="14"/>
  <c r="B25" i="14"/>
  <c r="B28" i="12"/>
  <c r="B27" i="12"/>
  <c r="B26" i="12"/>
  <c r="B25" i="12"/>
  <c r="B28" i="1"/>
  <c r="B27" i="1"/>
  <c r="B26" i="1"/>
  <c r="B25" i="1"/>
  <c r="B19" i="11"/>
  <c r="B18" i="11"/>
  <c r="B17" i="11"/>
  <c r="B16" i="11"/>
  <c r="B3" i="10"/>
  <c r="B3" i="11"/>
  <c r="B3" i="1"/>
  <c r="B3" i="12"/>
  <c r="B3" i="14"/>
  <c r="B3" i="5"/>
  <c r="E5" i="13"/>
  <c r="G5" i="13"/>
  <c r="D5" i="13"/>
  <c r="C5" i="13"/>
  <c r="G5" i="5"/>
  <c r="E5" i="5"/>
  <c r="D5" i="5"/>
  <c r="C5" i="5"/>
  <c r="G5" i="14"/>
  <c r="E5" i="14"/>
  <c r="D5" i="14"/>
  <c r="C5" i="14"/>
  <c r="G5" i="12"/>
  <c r="E5" i="12"/>
  <c r="D5" i="12"/>
  <c r="C5" i="12"/>
  <c r="E5" i="1"/>
  <c r="D5" i="1"/>
  <c r="C5" i="1"/>
  <c r="G5" i="11"/>
  <c r="E5" i="11"/>
  <c r="D5" i="11"/>
  <c r="C5" i="11"/>
  <c r="F4" i="13"/>
  <c r="F4" i="5"/>
  <c r="B6" i="5" s="1"/>
  <c r="F4" i="14"/>
  <c r="D58" i="15" s="1"/>
  <c r="F4" i="12"/>
  <c r="B6" i="12" s="1"/>
  <c r="F4" i="1"/>
  <c r="D27" i="15" s="1"/>
  <c r="F4" i="11"/>
  <c r="B6" i="11" s="1"/>
  <c r="F4" i="10"/>
  <c r="B6" i="10" s="1"/>
  <c r="B18" i="10"/>
  <c r="A3" i="2"/>
  <c r="A2" i="2"/>
  <c r="G8" i="10"/>
  <c r="D8" i="10"/>
  <c r="B8" i="10"/>
  <c r="G5" i="10"/>
  <c r="E5" i="10"/>
  <c r="D5" i="10"/>
  <c r="C5" i="10"/>
  <c r="B4" i="10"/>
  <c r="B21" i="10"/>
  <c r="B20" i="10"/>
  <c r="B19" i="10"/>
  <c r="D50" i="15" l="1"/>
  <c r="D45" i="15"/>
  <c r="D41" i="15"/>
  <c r="D52" i="15"/>
  <c r="D51" i="15"/>
  <c r="D49" i="15"/>
  <c r="D48" i="15"/>
  <c r="D47" i="15"/>
  <c r="D46" i="15"/>
  <c r="D44" i="15"/>
  <c r="D43" i="15"/>
  <c r="D42" i="15"/>
  <c r="B6" i="14"/>
  <c r="D57" i="15"/>
  <c r="D68" i="15"/>
  <c r="D67" i="15"/>
  <c r="D66" i="15"/>
  <c r="D65" i="15"/>
  <c r="D64" i="15"/>
  <c r="D63" i="15"/>
  <c r="D62" i="15"/>
  <c r="D61" i="15"/>
  <c r="D60" i="15"/>
  <c r="D59" i="15"/>
  <c r="D32" i="15"/>
  <c r="D29" i="15"/>
  <c r="B6" i="1"/>
  <c r="D26" i="15"/>
  <c r="D37" i="15"/>
  <c r="D36" i="15"/>
  <c r="D35" i="15"/>
  <c r="D34" i="15"/>
  <c r="D33" i="15"/>
  <c r="D31" i="15"/>
  <c r="D30" i="15"/>
  <c r="D28" i="15"/>
  <c r="F19" i="15"/>
  <c r="F16" i="15"/>
  <c r="F21" i="15"/>
  <c r="F20" i="15"/>
  <c r="F18" i="15"/>
  <c r="F17" i="15"/>
  <c r="E4" i="15"/>
  <c r="E11" i="15"/>
  <c r="E10" i="15"/>
  <c r="E9" i="15"/>
  <c r="E8" i="15"/>
  <c r="E7" i="15"/>
  <c r="E6" i="15"/>
  <c r="E5" i="15"/>
  <c r="D20" i="1"/>
  <c r="D19" i="1"/>
  <c r="D18" i="1"/>
  <c r="D17" i="1"/>
  <c r="D16" i="1"/>
  <c r="D15" i="1"/>
  <c r="D14" i="1"/>
  <c r="D13" i="1"/>
  <c r="D12" i="1"/>
  <c r="D10" i="1"/>
  <c r="D11" i="1"/>
  <c r="D9" i="1"/>
  <c r="E10" i="14"/>
  <c r="E11" i="14" s="1"/>
  <c r="E12" i="14" s="1"/>
  <c r="E13" i="14" s="1"/>
  <c r="E14" i="14" s="1"/>
  <c r="E15" i="14" s="1"/>
  <c r="E16" i="14" s="1"/>
  <c r="E17" i="14" s="1"/>
  <c r="E18" i="14" s="1"/>
  <c r="E19" i="14" s="1"/>
  <c r="E20" i="14" s="1"/>
  <c r="D22" i="14"/>
  <c r="F20" i="14"/>
  <c r="F19" i="14"/>
  <c r="F18" i="14"/>
  <c r="F17" i="14"/>
  <c r="F16" i="14"/>
  <c r="F15" i="14"/>
  <c r="F14" i="14"/>
  <c r="F13" i="14"/>
  <c r="F12" i="14"/>
  <c r="F11" i="14"/>
  <c r="F10" i="14"/>
  <c r="F9" i="14"/>
  <c r="E4" i="14"/>
  <c r="D4" i="14"/>
  <c r="E66" i="15" l="1"/>
  <c r="G18" i="14" s="1"/>
  <c r="E67" i="15"/>
  <c r="G19" i="14" s="1"/>
  <c r="E68" i="15"/>
  <c r="G20" i="14" s="1"/>
  <c r="E57" i="15"/>
  <c r="G9" i="14" s="1"/>
  <c r="E58" i="15"/>
  <c r="G10" i="14" s="1"/>
  <c r="E59" i="15"/>
  <c r="G11" i="14" s="1"/>
  <c r="E60" i="15"/>
  <c r="G12" i="14" s="1"/>
  <c r="E61" i="15"/>
  <c r="G13" i="14" s="1"/>
  <c r="E62" i="15"/>
  <c r="G14" i="14" s="1"/>
  <c r="E63" i="15"/>
  <c r="G15" i="14" s="1"/>
  <c r="E64" i="15"/>
  <c r="G16" i="14" s="1"/>
  <c r="E65" i="15"/>
  <c r="G17" i="14" s="1"/>
  <c r="D22" i="13" l="1"/>
  <c r="F20" i="13"/>
  <c r="F19" i="13"/>
  <c r="F18" i="13"/>
  <c r="F17" i="13"/>
  <c r="F16" i="13"/>
  <c r="F15" i="13"/>
  <c r="F14" i="13"/>
  <c r="F13" i="13"/>
  <c r="F12" i="13"/>
  <c r="F11" i="13"/>
  <c r="F10" i="13"/>
  <c r="E10" i="13"/>
  <c r="E11" i="13" s="1"/>
  <c r="E12" i="13" s="1"/>
  <c r="E13" i="13" s="1"/>
  <c r="E14" i="13" s="1"/>
  <c r="E15" i="13" s="1"/>
  <c r="E16" i="13" s="1"/>
  <c r="E17" i="13" s="1"/>
  <c r="E18" i="13" s="1"/>
  <c r="E19" i="13" s="1"/>
  <c r="E20" i="13" s="1"/>
  <c r="F9" i="13"/>
  <c r="E4" i="13"/>
  <c r="D4" i="13"/>
  <c r="D23" i="12"/>
  <c r="D22" i="12"/>
  <c r="F20" i="12"/>
  <c r="F19" i="12"/>
  <c r="F18" i="12"/>
  <c r="F17" i="12"/>
  <c r="F16" i="12"/>
  <c r="F15" i="12"/>
  <c r="F14" i="12"/>
  <c r="F13" i="12"/>
  <c r="F12" i="12"/>
  <c r="F11" i="12"/>
  <c r="F10" i="12"/>
  <c r="E10" i="12"/>
  <c r="E11" i="12" s="1"/>
  <c r="E12" i="12" s="1"/>
  <c r="E13" i="12" s="1"/>
  <c r="E14" i="12" s="1"/>
  <c r="E15" i="12" s="1"/>
  <c r="E16" i="12" s="1"/>
  <c r="E17" i="12" s="1"/>
  <c r="E18" i="12" s="1"/>
  <c r="E19" i="12" s="1"/>
  <c r="E20" i="12" s="1"/>
  <c r="F9" i="12"/>
  <c r="E4" i="12"/>
  <c r="D4" i="12"/>
  <c r="F10" i="11"/>
  <c r="F11" i="11"/>
  <c r="F12" i="11"/>
  <c r="F14" i="11"/>
  <c r="F13" i="11"/>
  <c r="F9" i="11"/>
  <c r="E4" i="11"/>
  <c r="D4" i="11"/>
  <c r="F10" i="10"/>
  <c r="F11" i="10"/>
  <c r="F12" i="10"/>
  <c r="F13" i="10"/>
  <c r="F14" i="10"/>
  <c r="F15" i="10"/>
  <c r="F16" i="10"/>
  <c r="F9" i="10"/>
  <c r="D4" i="10"/>
  <c r="E4" i="10"/>
  <c r="D75" i="15" l="1"/>
  <c r="D76" i="15"/>
  <c r="F76" i="15" s="1"/>
  <c r="G76" i="15" s="1"/>
  <c r="G11" i="13" s="1"/>
  <c r="D77" i="15"/>
  <c r="D78" i="15"/>
  <c r="F78" i="15" s="1"/>
  <c r="G78" i="15" s="1"/>
  <c r="G13" i="13" s="1"/>
  <c r="B6" i="13"/>
  <c r="D79" i="15"/>
  <c r="D80" i="15"/>
  <c r="I80" i="15" s="1"/>
  <c r="F80" i="15" s="1"/>
  <c r="G80" i="15" s="1"/>
  <c r="G15" i="13" s="1"/>
  <c r="D81" i="15"/>
  <c r="F81" i="15" s="1"/>
  <c r="G81" i="15" s="1"/>
  <c r="D82" i="15"/>
  <c r="I82" i="15" s="1"/>
  <c r="F82" i="15" s="1"/>
  <c r="G82" i="15" s="1"/>
  <c r="G17" i="13" s="1"/>
  <c r="D83" i="15"/>
  <c r="F83" i="15" s="1"/>
  <c r="G83" i="15" s="1"/>
  <c r="D84" i="15"/>
  <c r="I84" i="15" s="1"/>
  <c r="F84" i="15" s="1"/>
  <c r="G84" i="15" s="1"/>
  <c r="D85" i="15"/>
  <c r="F85" i="15" s="1"/>
  <c r="G85" i="15" s="1"/>
  <c r="D74" i="15"/>
  <c r="F74" i="15" s="1"/>
  <c r="G74" i="15" s="1"/>
  <c r="G16" i="15"/>
  <c r="I16" i="15" s="1"/>
  <c r="B16" i="15" s="1"/>
  <c r="G17" i="15"/>
  <c r="I17" i="15" s="1"/>
  <c r="B17" i="15" s="1"/>
  <c r="G18" i="15"/>
  <c r="I18" i="15" s="1"/>
  <c r="B18" i="15" s="1"/>
  <c r="G19" i="15"/>
  <c r="I19" i="15" s="1"/>
  <c r="B19" i="15" s="1"/>
  <c r="G20" i="15"/>
  <c r="I20" i="15" s="1"/>
  <c r="B20" i="15" s="1"/>
  <c r="G21" i="15"/>
  <c r="I21" i="15" s="1"/>
  <c r="B21" i="15" s="1"/>
  <c r="F10" i="15"/>
  <c r="H10" i="15" s="1"/>
  <c r="G15" i="10" s="1"/>
  <c r="F7" i="15"/>
  <c r="H7" i="15" s="1"/>
  <c r="G12" i="10" s="1"/>
  <c r="F6" i="15"/>
  <c r="H6" i="15" s="1"/>
  <c r="G11" i="10" s="1"/>
  <c r="F5" i="15"/>
  <c r="H5" i="15" s="1"/>
  <c r="G10" i="10" s="1"/>
  <c r="F9" i="15"/>
  <c r="H9" i="15" s="1"/>
  <c r="G14" i="10" s="1"/>
  <c r="F8" i="15"/>
  <c r="H8" i="15" s="1"/>
  <c r="G13" i="10" s="1"/>
  <c r="F11" i="15"/>
  <c r="H11" i="15" s="1"/>
  <c r="G16" i="10" s="1"/>
  <c r="F4" i="15"/>
  <c r="H4" i="15" s="1"/>
  <c r="G9" i="10" s="1"/>
  <c r="E41" i="15"/>
  <c r="G9" i="12" s="1"/>
  <c r="E47" i="15"/>
  <c r="G15" i="12" s="1"/>
  <c r="E48" i="15"/>
  <c r="G16" i="12" s="1"/>
  <c r="E49" i="15"/>
  <c r="G17" i="12" s="1"/>
  <c r="E43" i="15"/>
  <c r="G11" i="12" s="1"/>
  <c r="E46" i="15"/>
  <c r="G14" i="12" s="1"/>
  <c r="E50" i="15"/>
  <c r="E44" i="15"/>
  <c r="G12" i="12" s="1"/>
  <c r="E51" i="15"/>
  <c r="G19" i="12" s="1"/>
  <c r="E45" i="15"/>
  <c r="G13" i="12" s="1"/>
  <c r="E52" i="15"/>
  <c r="G20" i="12" s="1"/>
  <c r="E42" i="15"/>
  <c r="G10" i="12" s="1"/>
  <c r="I75" i="15"/>
  <c r="F75" i="15" s="1"/>
  <c r="G75" i="15" s="1"/>
  <c r="F79" i="15"/>
  <c r="G79" i="15" s="1"/>
  <c r="I77" i="15"/>
  <c r="F77" i="15" s="1"/>
  <c r="G77" i="15" s="1"/>
  <c r="G12" i="13" s="1"/>
  <c r="G18" i="12"/>
  <c r="D23" i="1"/>
  <c r="D22" i="1"/>
  <c r="F10" i="1"/>
  <c r="F11" i="1"/>
  <c r="F12" i="1"/>
  <c r="F13" i="1"/>
  <c r="F14" i="1"/>
  <c r="F15" i="1"/>
  <c r="F16" i="1"/>
  <c r="F17" i="1"/>
  <c r="F18" i="1"/>
  <c r="F19" i="1"/>
  <c r="F20" i="1"/>
  <c r="F9" i="1"/>
  <c r="E10" i="1"/>
  <c r="E11" i="1" s="1"/>
  <c r="E12" i="1" s="1"/>
  <c r="E13" i="1" s="1"/>
  <c r="E14" i="1" s="1"/>
  <c r="E15" i="1" s="1"/>
  <c r="E16" i="1" s="1"/>
  <c r="E17" i="1" s="1"/>
  <c r="E18" i="1" s="1"/>
  <c r="E19" i="1" s="1"/>
  <c r="E20" i="1" s="1"/>
  <c r="D4" i="5"/>
  <c r="D4" i="1"/>
  <c r="G5" i="6"/>
  <c r="G4" i="6"/>
  <c r="G3" i="6"/>
  <c r="D11" i="5"/>
  <c r="F11" i="5" s="1"/>
  <c r="D12" i="5"/>
  <c r="F12" i="5" s="1"/>
  <c r="D17" i="5"/>
  <c r="F17" i="5" s="1"/>
  <c r="D18" i="5"/>
  <c r="F18" i="5" s="1"/>
  <c r="D19" i="5"/>
  <c r="F19" i="5" s="1"/>
  <c r="D21" i="5"/>
  <c r="F21" i="5" s="1"/>
  <c r="D22" i="5"/>
  <c r="F22" i="5" s="1"/>
  <c r="D24" i="5"/>
  <c r="F24" i="5" s="1"/>
  <c r="D25" i="5"/>
  <c r="F25" i="5" s="1"/>
  <c r="D26" i="5"/>
  <c r="F26" i="5" s="1"/>
  <c r="D28" i="5"/>
  <c r="F28" i="5" s="1"/>
  <c r="D29" i="5"/>
  <c r="F29" i="5" s="1"/>
  <c r="D10" i="5"/>
  <c r="F10" i="5" s="1"/>
  <c r="P33" i="6"/>
  <c r="O33" i="6"/>
  <c r="P32" i="6"/>
  <c r="O32" i="6"/>
  <c r="E33" i="15" l="1"/>
  <c r="E29" i="15"/>
  <c r="E37" i="15"/>
  <c r="E26" i="15"/>
  <c r="E34" i="15"/>
  <c r="E27" i="15"/>
  <c r="E35" i="15"/>
  <c r="E30" i="15"/>
  <c r="E36" i="15"/>
  <c r="E31" i="15"/>
  <c r="E28" i="15"/>
  <c r="E32" i="15"/>
  <c r="G9" i="11"/>
  <c r="G10" i="11"/>
  <c r="G11" i="11"/>
  <c r="G12" i="11"/>
  <c r="G14" i="11"/>
  <c r="G13" i="11"/>
  <c r="G10" i="13"/>
  <c r="G9" i="13"/>
  <c r="G16" i="13"/>
  <c r="G20" i="13"/>
  <c r="G18" i="13"/>
  <c r="G14" i="13"/>
  <c r="G19" i="13"/>
  <c r="D7" i="6"/>
  <c r="I47" i="6" s="1"/>
  <c r="D6" i="6"/>
  <c r="C17" i="6"/>
  <c r="C35" i="6" s="1"/>
  <c r="C31" i="6"/>
  <c r="D32" i="6"/>
  <c r="G32" i="6"/>
  <c r="L32" i="6"/>
  <c r="M32" i="6"/>
  <c r="N32" i="6"/>
  <c r="J32" i="6"/>
  <c r="E32" i="6"/>
  <c r="H32" i="6"/>
  <c r="K32" i="6"/>
  <c r="F32" i="6"/>
  <c r="I32" i="6"/>
  <c r="C33" i="6"/>
  <c r="D33" i="6"/>
  <c r="G33" i="6"/>
  <c r="L33" i="6"/>
  <c r="M33" i="6"/>
  <c r="N33" i="6"/>
  <c r="J33" i="6"/>
  <c r="E33" i="6"/>
  <c r="H33" i="6"/>
  <c r="K33" i="6"/>
  <c r="F33" i="6"/>
  <c r="I33" i="6"/>
  <c r="C34" i="6"/>
  <c r="E4" i="1"/>
  <c r="K35" i="6" l="1"/>
  <c r="F40" i="6"/>
  <c r="I45" i="6"/>
  <c r="N45" i="6" s="1"/>
  <c r="J37" i="6"/>
  <c r="E42" i="6"/>
  <c r="H47" i="6"/>
  <c r="M47" i="6" s="1"/>
  <c r="K41" i="6"/>
  <c r="H37" i="6"/>
  <c r="M37" i="6" s="1"/>
  <c r="H34" i="6"/>
  <c r="M34" i="6" s="1"/>
  <c r="K36" i="6"/>
  <c r="E43" i="6"/>
  <c r="I36" i="6"/>
  <c r="N36" i="6" s="1"/>
  <c r="F47" i="6"/>
  <c r="J44" i="6"/>
  <c r="J40" i="6"/>
  <c r="I43" i="6"/>
  <c r="N43" i="6" s="1"/>
  <c r="I38" i="6"/>
  <c r="N38" i="6" s="1"/>
  <c r="J46" i="6"/>
  <c r="E46" i="6"/>
  <c r="F39" i="6"/>
  <c r="E36" i="6"/>
  <c r="J42" i="6"/>
  <c r="F35" i="6"/>
  <c r="I40" i="6"/>
  <c r="N40" i="6" s="1"/>
  <c r="K46" i="6"/>
  <c r="E37" i="6"/>
  <c r="H42" i="6"/>
  <c r="M42" i="6" s="1"/>
  <c r="E34" i="6"/>
  <c r="I35" i="6"/>
  <c r="N35" i="6" s="1"/>
  <c r="F46" i="6"/>
  <c r="J43" i="6"/>
  <c r="F41" i="6"/>
  <c r="I46" i="6"/>
  <c r="N46" i="6" s="1"/>
  <c r="J38" i="6"/>
  <c r="J34" i="6"/>
  <c r="K42" i="6"/>
  <c r="H38" i="6"/>
  <c r="M38" i="6" s="1"/>
  <c r="K34" i="6"/>
  <c r="E40" i="6"/>
  <c r="K44" i="6"/>
  <c r="H35" i="6"/>
  <c r="M35" i="6" s="1"/>
  <c r="J36" i="6"/>
  <c r="K40" i="6"/>
  <c r="F36" i="6"/>
  <c r="I41" i="6"/>
  <c r="N41" i="6" s="1"/>
  <c r="K47" i="6"/>
  <c r="E38" i="6"/>
  <c r="H43" i="6"/>
  <c r="M43" i="6" s="1"/>
  <c r="K37" i="6"/>
  <c r="F42" i="6"/>
  <c r="N47" i="6"/>
  <c r="J39" i="6"/>
  <c r="E44" i="6"/>
  <c r="F37" i="6"/>
  <c r="I42" i="6"/>
  <c r="N42" i="6" s="1"/>
  <c r="E39" i="6"/>
  <c r="H44" i="6"/>
  <c r="M44" i="6" s="1"/>
  <c r="K43" i="6"/>
  <c r="I34" i="6"/>
  <c r="N34" i="6" s="1"/>
  <c r="H39" i="6"/>
  <c r="M39" i="6" s="1"/>
  <c r="J45" i="6"/>
  <c r="F43" i="6"/>
  <c r="E45" i="6"/>
  <c r="F38" i="6"/>
  <c r="H45" i="6"/>
  <c r="M45" i="6" s="1"/>
  <c r="E35" i="6"/>
  <c r="J41" i="6"/>
  <c r="H46" i="6"/>
  <c r="M46" i="6" s="1"/>
  <c r="I39" i="6"/>
  <c r="N39" i="6" s="1"/>
  <c r="F34" i="6"/>
  <c r="J47" i="6"/>
  <c r="E47" i="6"/>
  <c r="I37" i="6"/>
  <c r="N37" i="6" s="1"/>
  <c r="J35" i="6"/>
  <c r="H40" i="6"/>
  <c r="M40" i="6" s="1"/>
  <c r="F44" i="6"/>
  <c r="I44" i="6"/>
  <c r="N44" i="6" s="1"/>
  <c r="H41" i="6"/>
  <c r="M41" i="6" s="1"/>
  <c r="F45" i="6"/>
  <c r="K38" i="6"/>
  <c r="K39" i="6"/>
  <c r="E41" i="6"/>
  <c r="K45" i="6"/>
  <c r="H36" i="6"/>
  <c r="M36" i="6" s="1"/>
  <c r="C18" i="6"/>
  <c r="C19" i="6" s="1"/>
  <c r="D36" i="6"/>
  <c r="D47" i="6"/>
  <c r="D43" i="6"/>
  <c r="D35" i="6"/>
  <c r="G46" i="6"/>
  <c r="L46" i="6" s="1"/>
  <c r="G38" i="6"/>
  <c r="L38" i="6" s="1"/>
  <c r="G45" i="6"/>
  <c r="L45" i="6" s="1"/>
  <c r="D45" i="6"/>
  <c r="D41" i="6"/>
  <c r="D34" i="6"/>
  <c r="G41" i="6"/>
  <c r="L41" i="6" s="1"/>
  <c r="D38" i="6"/>
  <c r="G34" i="6"/>
  <c r="L34" i="6" s="1"/>
  <c r="G44" i="6"/>
  <c r="L44" i="6" s="1"/>
  <c r="D44" i="6"/>
  <c r="G37" i="6"/>
  <c r="L37" i="6" s="1"/>
  <c r="G40" i="6"/>
  <c r="L40" i="6" s="1"/>
  <c r="D37" i="6"/>
  <c r="G47" i="6"/>
  <c r="L47" i="6" s="1"/>
  <c r="G43" i="6"/>
  <c r="L43" i="6" s="1"/>
  <c r="D40" i="6"/>
  <c r="G36" i="6"/>
  <c r="L36" i="6" s="1"/>
  <c r="G39" i="6"/>
  <c r="L39" i="6" s="1"/>
  <c r="D46" i="6"/>
  <c r="G42" i="6"/>
  <c r="L42" i="6" s="1"/>
  <c r="D39" i="6"/>
  <c r="D42" i="6"/>
  <c r="G35" i="6"/>
  <c r="L35" i="6" s="1"/>
  <c r="G19" i="1"/>
  <c r="G17" i="1"/>
  <c r="G20" i="1"/>
  <c r="G18" i="1"/>
  <c r="G16" i="1"/>
  <c r="G11" i="1"/>
  <c r="Q44" i="6" l="1"/>
  <c r="R47" i="6"/>
  <c r="Q40" i="6"/>
  <c r="Q36" i="6"/>
  <c r="R45" i="6"/>
  <c r="R39" i="6"/>
  <c r="R37" i="6"/>
  <c r="R35" i="6"/>
  <c r="R38" i="6"/>
  <c r="R43" i="6"/>
  <c r="R46" i="6"/>
  <c r="R40" i="6"/>
  <c r="R44" i="6"/>
  <c r="R41" i="6"/>
  <c r="Q35" i="6"/>
  <c r="R34" i="6"/>
  <c r="R36" i="6"/>
  <c r="R42" i="6"/>
  <c r="Q45" i="6"/>
  <c r="Q43" i="6"/>
  <c r="Q47" i="6"/>
  <c r="Q42" i="6"/>
  <c r="Q37" i="6"/>
  <c r="Q41" i="6"/>
  <c r="Q39" i="6"/>
  <c r="Q38" i="6"/>
  <c r="Q46" i="6"/>
  <c r="Q34" i="6"/>
  <c r="P47" i="6"/>
  <c r="P40" i="6"/>
  <c r="P43" i="6"/>
  <c r="P36" i="6"/>
  <c r="P44" i="6"/>
  <c r="P46" i="6"/>
  <c r="P41" i="6"/>
  <c r="P42" i="6"/>
  <c r="P38" i="6"/>
  <c r="P45" i="6"/>
  <c r="P39" i="6"/>
  <c r="P37" i="6"/>
  <c r="P35" i="6"/>
  <c r="P34" i="6"/>
  <c r="O40" i="6"/>
  <c r="O44" i="6"/>
  <c r="O35" i="6"/>
  <c r="O36" i="6"/>
  <c r="O47" i="6"/>
  <c r="O45" i="6"/>
  <c r="O42" i="6"/>
  <c r="O43" i="6"/>
  <c r="O39" i="6"/>
  <c r="O38" i="6"/>
  <c r="O46" i="6"/>
  <c r="O37" i="6"/>
  <c r="O41" i="6"/>
  <c r="O34" i="6"/>
  <c r="C20" i="6"/>
  <c r="C21" i="6" s="1"/>
  <c r="C37" i="6"/>
  <c r="C36" i="6"/>
  <c r="G9" i="1"/>
  <c r="C38" i="6" l="1"/>
  <c r="C22" i="6"/>
  <c r="C39" i="6"/>
  <c r="G10" i="1"/>
  <c r="G12" i="1"/>
  <c r="G13" i="1"/>
  <c r="G14" i="1"/>
  <c r="G15" i="1"/>
  <c r="C40" i="6" l="1"/>
  <c r="C23" i="6"/>
  <c r="C24" i="6" l="1"/>
  <c r="C41" i="6"/>
  <c r="C25" i="6" l="1"/>
  <c r="C42" i="6"/>
  <c r="C43" i="6" l="1"/>
  <c r="C26" i="6"/>
  <c r="C44" i="6" l="1"/>
  <c r="C27" i="6"/>
  <c r="C28" i="6" l="1"/>
  <c r="C45" i="6"/>
  <c r="C46" i="6" l="1"/>
  <c r="C29" i="6"/>
  <c r="C47" i="6" l="1"/>
  <c r="G14" i="5" l="1"/>
  <c r="G15" i="5"/>
  <c r="G12" i="5"/>
  <c r="G29" i="5"/>
  <c r="G17" i="5"/>
  <c r="G18" i="5"/>
  <c r="G10" i="5"/>
  <c r="G11" i="5"/>
  <c r="G21" i="5"/>
  <c r="G22" i="5"/>
  <c r="G28" i="5"/>
  <c r="G19" i="5"/>
  <c r="G25" i="5"/>
  <c r="G26" i="5"/>
  <c r="G24" i="5"/>
</calcChain>
</file>

<file path=xl/sharedStrings.xml><?xml version="1.0" encoding="utf-8"?>
<sst xmlns="http://schemas.openxmlformats.org/spreadsheetml/2006/main" count="517" uniqueCount="310">
  <si>
    <t>Km</t>
  </si>
  <si>
    <t>n</t>
  </si>
  <si>
    <t>DeltaT</t>
  </si>
  <si>
    <t>Rapport formel</t>
  </si>
  <si>
    <t>LKK 33-73-08</t>
  </si>
  <si>
    <t>LKK 33-83-10</t>
  </si>
  <si>
    <t>LKK 42-92-10</t>
  </si>
  <si>
    <t>LKK 48-98-10</t>
  </si>
  <si>
    <t>LKK 60-110-10</t>
  </si>
  <si>
    <t>LKK 60-123-12</t>
  </si>
  <si>
    <t>LKK 76-139-12</t>
  </si>
  <si>
    <t>LKK 101-164-12</t>
  </si>
  <si>
    <t>Return (C°)</t>
  </si>
  <si>
    <t>Flow (C°)</t>
  </si>
  <si>
    <t>Length</t>
  </si>
  <si>
    <t>Beregningsmetode</t>
  </si>
  <si>
    <t>Logaritmisk</t>
  </si>
  <si>
    <t>Aritmetisk</t>
  </si>
  <si>
    <t>Ydelsesberegningen er vejledende. Der tages forbehold for eventuelle fejl og unøjagtighed i ydelsesberegningen. I tilfælde af uoverensstemmelse i forhold til de officielle produktdata i MEINERTZ brochuremateriale samt på www.meinertz.com, er det de officielle ydelser der er gældende.</t>
  </si>
  <si>
    <t>Nominel ydelse</t>
  </si>
  <si>
    <t>∆t 50 K (75/65/20)</t>
  </si>
  <si>
    <t>Omregningsfaktor</t>
  </si>
  <si>
    <t>Watt</t>
  </si>
  <si>
    <t>Index</t>
  </si>
  <si>
    <t>Height</t>
  </si>
  <si>
    <t>W/M @ 75/65/20</t>
  </si>
  <si>
    <t>Radiators + Convectors</t>
  </si>
  <si>
    <t>Watt/BTU factor</t>
  </si>
  <si>
    <t>K=</t>
  </si>
  <si>
    <t>Max Length - Max TF</t>
  </si>
  <si>
    <t>Max Length TF</t>
  </si>
  <si>
    <t>Max Length</t>
  </si>
  <si>
    <t>Min Length</t>
  </si>
  <si>
    <t>KONVEKTOR / RADIATOR - DATA</t>
  </si>
  <si>
    <t>Min. Baulänge: 1000 mm. Max. Baulänge: 3400 mm. 
Bitte kontaktieren Sie MEINERTZ für Sondergrössen und Sonderausführungen.</t>
  </si>
  <si>
    <t>Min length: 1000 mm. Max. length 3400 mm. 
Please contact MEINERTZ for special sizes and special options.</t>
  </si>
  <si>
    <t>Min. længde: 1000 mm. Maks. længde: 3400 mm. 
Kontakt venligst MEINERTZ for specialstørrelser og specialløsninger.</t>
  </si>
  <si>
    <t>Bemærkning 2</t>
  </si>
  <si>
    <t>Bitte beachten Sie, Länge ist pro Einheit. Mehrere Einheiten können in Serie montiert werden.</t>
  </si>
  <si>
    <t>Please note, length is per unit. Several units can be mounted in series.</t>
  </si>
  <si>
    <t>Bemærk venligst, længde er pr. enhed. Flere enheder kan monteres i serie.</t>
  </si>
  <si>
    <t>Bemærkning 1</t>
  </si>
  <si>
    <t>Zu hohe Watt/BTU</t>
  </si>
  <si>
    <t>Too large Watt/BTU</t>
  </si>
  <si>
    <t>For stor Watt/BTU</t>
  </si>
  <si>
    <t>Check Watt</t>
  </si>
  <si>
    <t>CONVEC FLOORLINE</t>
  </si>
  <si>
    <t>Overskrift</t>
  </si>
  <si>
    <t>Convec Floor-Line</t>
  </si>
  <si>
    <t>Min. Bauhöhe: 400 mm. Max. Bauhöhe: 3200 mm. 
Bitte kontaktieren Sie MEINERTZ für Sondergrössen und Sonderausführungen.</t>
  </si>
  <si>
    <t>Min height: 400 mm. Max. height 3200 mm. 
Please contact MEINERTZ for special sizes and special options.</t>
  </si>
  <si>
    <t>Min. højde: 400 mm. Maks. højde: 3200 mm. 
Kontakt venligst MEINERTZ for specialstørrelser og specialløsninger.</t>
  </si>
  <si>
    <t>Bemærkning</t>
  </si>
  <si>
    <t>VERTIKAL RADIATOR</t>
  </si>
  <si>
    <t>VERTICAL RADIATOR</t>
  </si>
  <si>
    <t>Vertikal</t>
  </si>
  <si>
    <t>Sky-Line &amp; Plint: min. Baulänge 400 mm, max. Baulänge: 6000 mm.
L-Line: min. Baulänge 400 mm, max. Baulänge 3000 mm.
Bitte kontaktieren Sie MEINERTZ für Sondergrössen und Sonderausführungen.</t>
  </si>
  <si>
    <t>Sky-Line &amp; Plint: min length 400 mm, max. length 6000 mm.
L-Line: min length 400 mm, max. length 3000 mm.
Please contact MEINERTZ for special sizes and special options.</t>
  </si>
  <si>
    <t>Sky-Line &amp; Plint: min. længde 400 mm, maks. længde 6000 mm. 
L-Line: min. længde 400 mm, maks. længde 3000 mm. 
Kontakt venligst MEINERTZ for specialstørrelser og specialløsninger.</t>
  </si>
  <si>
    <t>Bitte beachten Sie, dass die Leistung kalkuliert worden ist</t>
  </si>
  <si>
    <t>Please note, the output is estimated</t>
  </si>
  <si>
    <t>Bemærk venligst, at ydelserne er estimeret</t>
  </si>
  <si>
    <t>L-Line (LL)</t>
  </si>
  <si>
    <t>Sub overskrift 1</t>
  </si>
  <si>
    <t>Sky-Line (SL) &amp; Plint (SP)</t>
  </si>
  <si>
    <t>SKYLINE, PLINT &amp; L-LINE</t>
  </si>
  <si>
    <t>SkyLine / L-Line</t>
  </si>
  <si>
    <t>Min. Baulänge: 400 mm. Max. Baulänge: 6000 mm (TF 3200 mm). 
Bitte kontaktieren Sie MEINERTZ für Sondergrössen und Sonderausführungen.</t>
  </si>
  <si>
    <t>Min length: 400 mm. Max. length 6000 mm (TF 3200 mm). 
Please contact MEINERTZ for special sizes and special options.</t>
  </si>
  <si>
    <t>Min. Længde: 400 mm. Maks. Længde: 6000 mm (TF 3200 mm). 
Kontakt venligst MEINERTZ for specialstørrelser og specialløsninger.</t>
  </si>
  <si>
    <t>KONVEKTOR / RADIATOR</t>
  </si>
  <si>
    <t>CONVECTOR / RADIATOR</t>
  </si>
  <si>
    <t>Konvektorer / Radiatorer</t>
  </si>
  <si>
    <t>Min. Baulänge: 400 mm. Max. Baulänge: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</si>
  <si>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</si>
  <si>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</si>
  <si>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PROLINE</t>
  </si>
  <si>
    <t>ProLine</t>
  </si>
  <si>
    <t>Leistung = Watt/meter * meter bei den definierten Temperaturen Sätze</t>
  </si>
  <si>
    <t>Output = Watt/meter * meter at the defined temperature sets</t>
  </si>
  <si>
    <t>Ydelse = Watt/meter * meter ved de definerede temparatursæt</t>
  </si>
  <si>
    <t>Beregning</t>
  </si>
  <si>
    <t>Min. Länge: 400 mm. Max. Länge: 6000 mm. 
Bitte kontaktieren Sie MEINERTZ für Sondergrössen und Sonderausführungen.</t>
  </si>
  <si>
    <t>Min length: 400 mm. Max. Length 6000 mm. 
Please contact MEINERTZ for special sizes and special options.</t>
  </si>
  <si>
    <t>Min. Længde: 400 mm. Maks. Længde: 6000 mm. 
Kontakt venligst MEINERTZ for specialstørrelser og specialløsninger.</t>
  </si>
  <si>
    <t>GLATTROHR</t>
  </si>
  <si>
    <t>PLAIN TUBE</t>
  </si>
  <si>
    <t>GLATRØR</t>
  </si>
  <si>
    <t>Glatrør</t>
  </si>
  <si>
    <t>RIPPENROHR</t>
  </si>
  <si>
    <t>FINNED TUBE</t>
  </si>
  <si>
    <t>RIBBERØR</t>
  </si>
  <si>
    <t>Ribberør</t>
  </si>
  <si>
    <t>Die Leistungsberechnung ist informativ. Reservierungen sind für Fehler oder Ungenauigkeiten in der Leistungsberechnung vorgenommen. Im Falle der Nichtübereinstimmung mit den offiziellen Daten in MEINERTZ Broschüren und auf www.meinertz.com, ist die offizielle Daten erhoben.</t>
  </si>
  <si>
    <t>The heat output calculation is informative. Reservations are made for any errors or inaccuracies in the heat output calculation. In case of non-conformity to the official data in MEINERTZ brochures and on www.meinertz.com, the official data is applicable.</t>
  </si>
  <si>
    <t>Disclaimer</t>
  </si>
  <si>
    <t>Umrechnungsfakt.</t>
  </si>
  <si>
    <t>Conversion factor</t>
  </si>
  <si>
    <t>Nominal Leistung</t>
  </si>
  <si>
    <t>Nominal output</t>
  </si>
  <si>
    <t>Wand</t>
  </si>
  <si>
    <t>Wall</t>
  </si>
  <si>
    <t>Væg</t>
  </si>
  <si>
    <t>Seitenroste</t>
  </si>
  <si>
    <t>Side grill</t>
  </si>
  <si>
    <t>Siderist</t>
  </si>
  <si>
    <t>Roste</t>
  </si>
  <si>
    <t>Grill</t>
  </si>
  <si>
    <t>Rist</t>
  </si>
  <si>
    <t>Flad front</t>
  </si>
  <si>
    <t>Konvektor</t>
  </si>
  <si>
    <t>Convector</t>
  </si>
  <si>
    <t>Wasserführenden Rohr</t>
  </si>
  <si>
    <t>Water carrying tube</t>
  </si>
  <si>
    <t>Vandfyldt rør</t>
  </si>
  <si>
    <t>Watt/BTU</t>
  </si>
  <si>
    <t>Bauhöhe</t>
  </si>
  <si>
    <t>Højde</t>
  </si>
  <si>
    <t>Baulänge</t>
  </si>
  <si>
    <t>Længde</t>
  </si>
  <si>
    <t>Typ (Rohre)</t>
  </si>
  <si>
    <t>Type (tubes)</t>
  </si>
  <si>
    <t>Type (rør)</t>
  </si>
  <si>
    <t>Typ</t>
  </si>
  <si>
    <t>Type</t>
  </si>
  <si>
    <t>Konfiguration</t>
  </si>
  <si>
    <t>Configuration</t>
  </si>
  <si>
    <t>Bauhöhe - mm</t>
  </si>
  <si>
    <t>Height - mm</t>
  </si>
  <si>
    <t>Højde - mm</t>
  </si>
  <si>
    <t>Baulänge - mm</t>
  </si>
  <si>
    <t>Length - mm</t>
  </si>
  <si>
    <t>Længde - mm</t>
  </si>
  <si>
    <t>Ydelse - watt</t>
  </si>
  <si>
    <t>Rum</t>
  </si>
  <si>
    <t>Retur</t>
  </si>
  <si>
    <t>Fremløb</t>
  </si>
  <si>
    <t>Leistung, Länge oder Höhe wählen</t>
  </si>
  <si>
    <t>Select output, length or height</t>
  </si>
  <si>
    <t>Vælg ydelse, længde eller højde</t>
  </si>
  <si>
    <t>Vælg ydelse / længde / højde</t>
  </si>
  <si>
    <t>Leistung oder Länge wählen</t>
  </si>
  <si>
    <t>Select output or length</t>
  </si>
  <si>
    <t>Vælg ydelse eller længde</t>
  </si>
  <si>
    <t>Vælg ydelse / længde</t>
  </si>
  <si>
    <t>Wählen Temperatursatz °C</t>
  </si>
  <si>
    <t>Select temperature set  °C</t>
  </si>
  <si>
    <t>Vælg temperartursæt °C</t>
  </si>
  <si>
    <t>Vælg temperatur sæt</t>
  </si>
  <si>
    <t>Wählen Temperaturen °C</t>
  </si>
  <si>
    <t>Select temperatures  °C</t>
  </si>
  <si>
    <t>Vælg temperarturer °C</t>
  </si>
  <si>
    <t>Vælg temperatur</t>
  </si>
  <si>
    <t>Generelt</t>
  </si>
  <si>
    <t>VERTICAL</t>
  </si>
  <si>
    <t>Vertical</t>
  </si>
  <si>
    <t>LEISTUNG BERECHNUNG</t>
  </si>
  <si>
    <t>OUTPUT CALCULATION</t>
  </si>
  <si>
    <t>BEREGNING AF YDELSER</t>
  </si>
  <si>
    <t>Menu</t>
  </si>
  <si>
    <t>Deutsch</t>
  </si>
  <si>
    <t>English</t>
  </si>
  <si>
    <t>Dansk</t>
  </si>
  <si>
    <t>BTU</t>
  </si>
  <si>
    <t>Sprog Index:</t>
  </si>
  <si>
    <t>SKYLINE</t>
  </si>
  <si>
    <t>Ingen lameller</t>
  </si>
  <si>
    <t>Fradrag</t>
  </si>
  <si>
    <t>Frontplade</t>
  </si>
  <si>
    <t>01</t>
  </si>
  <si>
    <t>02</t>
  </si>
  <si>
    <t>03</t>
  </si>
  <si>
    <t>TLX</t>
  </si>
  <si>
    <t>TLFX</t>
  </si>
  <si>
    <t>Frem</t>
  </si>
  <si>
    <t>Q = Qn * (∆t / ∆tn)n1   &amp;   (∆t / ∆tn)n1 = ((tfrem - tretur)/Ln((tfrem - tstue)/(tretur - trum)))n1</t>
  </si>
  <si>
    <t>Room (C°)</t>
  </si>
  <si>
    <t>TOPLINE SLIM WITH TOP GRILL</t>
  </si>
  <si>
    <t>TOPLINE WITH FRONT PLATE AND TOP GRILL</t>
  </si>
  <si>
    <t>TOPLINE SLIM WITH FRONT PLATE AND TOP GRILL</t>
  </si>
  <si>
    <r>
      <t>Q = Q</t>
    </r>
    <r>
      <rPr>
        <vertAlign val="subscript"/>
        <sz val="8"/>
        <rFont val="Arial"/>
        <family val="2"/>
      </rPr>
      <t>n</t>
    </r>
    <r>
      <rPr>
        <sz val="8"/>
        <rFont val="Arial"/>
        <family val="2"/>
      </rPr>
      <t xml:space="preserve"> * (∆t / ∆tn)</t>
    </r>
    <r>
      <rPr>
        <vertAlign val="superscript"/>
        <sz val="8"/>
        <rFont val="Arial"/>
        <family val="2"/>
      </rPr>
      <t>n1</t>
    </r>
    <r>
      <rPr>
        <sz val="8"/>
        <rFont val="Arial"/>
        <family val="2"/>
      </rPr>
      <t xml:space="preserve">   &amp;   (∆t / ∆tn)</t>
    </r>
    <r>
      <rPr>
        <vertAlign val="superscript"/>
        <sz val="8"/>
        <rFont val="Arial"/>
        <family val="2"/>
      </rPr>
      <t>n1</t>
    </r>
    <r>
      <rPr>
        <sz val="8"/>
        <rFont val="Arial"/>
        <family val="2"/>
      </rPr>
      <t xml:space="preserve"> = ((t</t>
    </r>
    <r>
      <rPr>
        <vertAlign val="subscript"/>
        <sz val="8"/>
        <rFont val="Arial"/>
        <family val="2"/>
      </rPr>
      <t>frem</t>
    </r>
    <r>
      <rPr>
        <sz val="8"/>
        <rFont val="Arial"/>
        <family val="2"/>
      </rPr>
      <t xml:space="preserve"> - t</t>
    </r>
    <r>
      <rPr>
        <vertAlign val="subscript"/>
        <sz val="8"/>
        <rFont val="Arial"/>
        <family val="2"/>
      </rPr>
      <t>retur</t>
    </r>
    <r>
      <rPr>
        <sz val="8"/>
        <rFont val="Arial"/>
        <family val="2"/>
      </rPr>
      <t>)/Ln((t</t>
    </r>
    <r>
      <rPr>
        <vertAlign val="subscript"/>
        <sz val="8"/>
        <rFont val="Arial"/>
        <family val="2"/>
      </rPr>
      <t>frem</t>
    </r>
    <r>
      <rPr>
        <sz val="8"/>
        <rFont val="Arial"/>
        <family val="2"/>
      </rPr>
      <t xml:space="preserve"> - t</t>
    </r>
    <r>
      <rPr>
        <vertAlign val="subscript"/>
        <sz val="8"/>
        <rFont val="Arial"/>
        <family val="2"/>
      </rPr>
      <t>stue</t>
    </r>
    <r>
      <rPr>
        <sz val="8"/>
        <rFont val="Arial"/>
        <family val="2"/>
      </rPr>
      <t>)/(t</t>
    </r>
    <r>
      <rPr>
        <vertAlign val="subscript"/>
        <sz val="8"/>
        <rFont val="Arial"/>
        <family val="2"/>
      </rPr>
      <t>retur</t>
    </r>
    <r>
      <rPr>
        <sz val="8"/>
        <rFont val="Arial"/>
        <family val="2"/>
      </rPr>
      <t xml:space="preserve"> - t</t>
    </r>
    <r>
      <rPr>
        <vertAlign val="subscript"/>
        <sz val="8"/>
        <rFont val="Arial"/>
        <family val="2"/>
      </rPr>
      <t>rum</t>
    </r>
    <r>
      <rPr>
        <sz val="8"/>
        <rFont val="Arial"/>
        <family val="2"/>
      </rPr>
      <t>)))</t>
    </r>
    <r>
      <rPr>
        <vertAlign val="superscript"/>
        <sz val="8"/>
        <rFont val="Arial"/>
        <family val="2"/>
      </rPr>
      <t>n1</t>
    </r>
  </si>
  <si>
    <t>CL / TL</t>
  </si>
  <si>
    <t>CLX / TLX</t>
  </si>
  <si>
    <t>LKK G33</t>
  </si>
  <si>
    <t>LKK G42</t>
  </si>
  <si>
    <t>LKK G48</t>
  </si>
  <si>
    <t>LKK G60</t>
  </si>
  <si>
    <t>LKK G76</t>
  </si>
  <si>
    <t>LKK G101</t>
  </si>
  <si>
    <t>CONLINE &amp; TOPLINE</t>
  </si>
  <si>
    <t>CONLINE &amp; TOPLINE WITH TOP GRILL</t>
  </si>
  <si>
    <t>SP03</t>
  </si>
  <si>
    <t>SP04</t>
  </si>
  <si>
    <t>SP05</t>
  </si>
  <si>
    <t>SP06</t>
  </si>
  <si>
    <t>SP07</t>
  </si>
  <si>
    <t>SP08</t>
  </si>
  <si>
    <t>SP09</t>
  </si>
  <si>
    <t>SP10</t>
  </si>
  <si>
    <t>SP11</t>
  </si>
  <si>
    <t>SP12</t>
  </si>
  <si>
    <t>SP13</t>
  </si>
  <si>
    <t>SP14</t>
  </si>
  <si>
    <t>SKYLINE PLINT</t>
  </si>
  <si>
    <t>Rapport lgd.</t>
  </si>
  <si>
    <t>W/m</t>
  </si>
  <si>
    <t>Rapport ydelse</t>
  </si>
  <si>
    <t>Testet lgd.</t>
  </si>
  <si>
    <t>PL030500</t>
  </si>
  <si>
    <t>PL040500</t>
  </si>
  <si>
    <t>PL050500</t>
  </si>
  <si>
    <t>PL060600</t>
  </si>
  <si>
    <t>PL070700</t>
  </si>
  <si>
    <t>PL080503</t>
  </si>
  <si>
    <t>PL090504</t>
  </si>
  <si>
    <t>PL100505</t>
  </si>
  <si>
    <t>PL110605</t>
  </si>
  <si>
    <t>PL120606</t>
  </si>
  <si>
    <t>PL130706</t>
  </si>
  <si>
    <t>PL140707</t>
  </si>
  <si>
    <t>Dybder</t>
  </si>
  <si>
    <t>Dybde beregning</t>
  </si>
  <si>
    <t>PL090500</t>
  </si>
  <si>
    <t>Calculating %</t>
  </si>
  <si>
    <t>Calculation method</t>
  </si>
  <si>
    <t>Standard højde</t>
  </si>
  <si>
    <t>mm</t>
  </si>
  <si>
    <t>LL03</t>
  </si>
  <si>
    <t>LL04</t>
  </si>
  <si>
    <t>LL05</t>
  </si>
  <si>
    <t>LL06</t>
  </si>
  <si>
    <t>LL07</t>
  </si>
  <si>
    <t>LL08</t>
  </si>
  <si>
    <t>LL09</t>
  </si>
  <si>
    <t>LL10</t>
  </si>
  <si>
    <t>LL11</t>
  </si>
  <si>
    <t>LL12</t>
  </si>
  <si>
    <t>LL13</t>
  </si>
  <si>
    <t>LL14</t>
  </si>
  <si>
    <t>DSL factor</t>
  </si>
  <si>
    <t>Rechenmethode</t>
  </si>
  <si>
    <t>Vorlauf (C°)</t>
  </si>
  <si>
    <t>Fremløb (C°)</t>
  </si>
  <si>
    <t>Retur (C°)</t>
  </si>
  <si>
    <t>Rücklauf (C°)</t>
  </si>
  <si>
    <t>Rum (C°)</t>
  </si>
  <si>
    <t>Zimmer (C°)</t>
  </si>
  <si>
    <t xml:space="preserve">Ydelse ved </t>
  </si>
  <si>
    <t xml:space="preserve">Output at </t>
  </si>
  <si>
    <t xml:space="preserve">Leistung bei </t>
  </si>
  <si>
    <t>Arithmetic</t>
  </si>
  <si>
    <t>Arithmetik</t>
  </si>
  <si>
    <t>Beregningstype A</t>
  </si>
  <si>
    <t>Beregningstype B</t>
  </si>
  <si>
    <t>Logarithmisch</t>
  </si>
  <si>
    <t>Logarithmic</t>
  </si>
  <si>
    <t>Dybde</t>
  </si>
  <si>
    <t>Grav dybde</t>
  </si>
  <si>
    <t>Skyline</t>
  </si>
  <si>
    <t>Skyline Plint</t>
  </si>
  <si>
    <t>L-Line</t>
  </si>
  <si>
    <t>SKYLINE PLINTH</t>
  </si>
  <si>
    <t>L-LINE</t>
  </si>
  <si>
    <r>
      <t>Q = K</t>
    </r>
    <r>
      <rPr>
        <vertAlign val="subscript"/>
        <sz val="8"/>
        <rFont val="Arial"/>
        <family val="2"/>
      </rPr>
      <t>m</t>
    </r>
    <r>
      <rPr>
        <sz val="8"/>
        <rFont val="Arial"/>
        <family val="2"/>
      </rPr>
      <t xml:space="preserve"> * ∆T</t>
    </r>
    <r>
      <rPr>
        <vertAlign val="superscript"/>
        <sz val="8"/>
        <rFont val="Arial"/>
        <family val="2"/>
      </rPr>
      <t>n</t>
    </r>
  </si>
  <si>
    <t>SkyLine</t>
  </si>
  <si>
    <t>SkyLine Plint</t>
  </si>
  <si>
    <t>Udregnet Km ved 75/65/20</t>
  </si>
  <si>
    <t>TSFX</t>
  </si>
  <si>
    <t>TSX</t>
  </si>
  <si>
    <t>TS</t>
  </si>
  <si>
    <t>TOPLINE SLIM</t>
  </si>
  <si>
    <t>Prod. Bredde</t>
  </si>
  <si>
    <t>Prod. Width</t>
  </si>
  <si>
    <t>PLSK030500</t>
  </si>
  <si>
    <t>PLSK040500</t>
  </si>
  <si>
    <t>PLSK050500</t>
  </si>
  <si>
    <t>PLSK060600</t>
  </si>
  <si>
    <t>PLSK070700</t>
  </si>
  <si>
    <t>PLSK080503</t>
  </si>
  <si>
    <t>PLSK090504</t>
  </si>
  <si>
    <t>PLSK100505</t>
  </si>
  <si>
    <t>PLSK110605</t>
  </si>
  <si>
    <t>PLSK120606</t>
  </si>
  <si>
    <t>PLSK130706</t>
  </si>
  <si>
    <t>PLSK140707</t>
  </si>
  <si>
    <t>Tolerance</t>
  </si>
  <si>
    <t>For ProLine with steeltrench, it is recommended to calculate an adjustment tolerance of min. 10mm according to the trench depth.</t>
  </si>
  <si>
    <t>Ved ProLine med stålkassette anbefales at beregne en justerings tolerance på min. 10mm ifh. gravdybden.</t>
  </si>
  <si>
    <t>Trench / Steel trench depth</t>
  </si>
  <si>
    <t>Für ProLine mit Stahlkassette wird empfohlen, eine Verstelltoleranz von min. 10mm gem die Grabentiefe.</t>
  </si>
  <si>
    <t>Stahlkassette / Grabentiefe</t>
  </si>
  <si>
    <t>Stålkassette / Grav dybde</t>
  </si>
  <si>
    <t>CL&amp;TL</t>
  </si>
  <si>
    <t>TLX/CLX</t>
  </si>
  <si>
    <t>CONLINE &amp; TOPLINE MED TOP GRILL</t>
  </si>
  <si>
    <t>TOPLINE MIT FRONTPLATTE UND OBERGITTER</t>
  </si>
  <si>
    <t>TOPLINE SLIM MIT OBERGITTER</t>
  </si>
  <si>
    <t>CONLINE &amp; TOPLINE MIT OBERGITTER</t>
  </si>
  <si>
    <t>TOPLINE SLIM MIT FRONTPLATTE UND OBERGITTER</t>
  </si>
  <si>
    <t>TOPLINE SLIM MED TOP GRILL</t>
  </si>
  <si>
    <t>TOPLINE MED FRONTPLADE OG TOP GRILL</t>
  </si>
  <si>
    <t>Grav/Stålkassette</t>
  </si>
  <si>
    <t>Trench / Steel trench</t>
  </si>
  <si>
    <t>Stahlkassette / Graben</t>
  </si>
  <si>
    <t>Grav</t>
  </si>
  <si>
    <t>Produktbreite</t>
  </si>
  <si>
    <t>TLXF</t>
  </si>
  <si>
    <t>TSXF</t>
  </si>
  <si>
    <t>Front plate</t>
  </si>
  <si>
    <t>Frontplatte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</si>
</sst>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0.0000"/>
    <numFmt numFmtId="165" formatCode="0.0000"/>
    <numFmt numFmtId="166" formatCode="0.000"/>
    <numFmt numFmtId="167" formatCode="0.00000"/>
    <numFmt numFmtId="168" formatCode="0.0%"/>
  </numFmts>
  <fonts count="27" x14ac:knownFonts="1">
    <font>
      <sz val="11"/>
      <color theme="1"/>
      <name val="Calibri"/>
      <family val="2"/>
      <scheme val="minor"/>
    </font>
    <font>
      <b/>
      <sz val="11"/>
      <color theme="0"/>
      <name val="Calibri"/>
      <family val="2"/>
      <scheme val="minor"/>
    </font>
    <font>
      <sz val="8"/>
      <name val="Calibri"/>
      <family val="2"/>
      <scheme val="minor"/>
    </font>
    <font>
      <sz val="8"/>
      <color theme="1"/>
      <name val="Calibri"/>
      <family val="2"/>
    </font>
    <font>
      <sz val="11"/>
      <color theme="1"/>
      <name val="Calibri"/>
      <family val="2"/>
      <scheme val="minor"/>
    </font>
    <font>
      <b/>
      <sz val="8"/>
      <color theme="1"/>
      <name val="Calibri"/>
      <family val="2"/>
    </font>
    <font>
      <b/>
      <sz val="16"/>
      <color theme="1"/>
      <name val="Calibri"/>
      <family val="2"/>
    </font>
    <font>
      <sz val="8"/>
      <name val="Calibri"/>
      <family val="2"/>
    </font>
    <font>
      <sz val="10"/>
      <color theme="0"/>
      <name val="Arial"/>
      <family val="2"/>
    </font>
    <font>
      <b/>
      <sz val="10"/>
      <color theme="0"/>
      <name val="Arial"/>
      <family val="2"/>
    </font>
    <font>
      <sz val="10"/>
      <name val="Arial"/>
      <family val="2"/>
    </font>
    <font>
      <b/>
      <sz val="10"/>
      <name val="Arial"/>
      <family val="2"/>
    </font>
    <font>
      <i/>
      <sz val="10"/>
      <name val="Arial"/>
      <family val="2"/>
    </font>
    <font>
      <b/>
      <sz val="10"/>
      <color indexed="9"/>
      <name val="Arial"/>
      <family val="2"/>
    </font>
    <font>
      <b/>
      <sz val="16"/>
      <name val="Arial"/>
      <family val="2"/>
    </font>
    <font>
      <b/>
      <sz val="8"/>
      <name val="Arial"/>
      <family val="2"/>
    </font>
    <font>
      <sz val="8"/>
      <name val="Arial"/>
      <family val="2"/>
    </font>
    <font>
      <vertAlign val="subscript"/>
      <sz val="8"/>
      <name val="Arial"/>
      <family val="2"/>
    </font>
    <font>
      <vertAlign val="superscript"/>
      <sz val="8"/>
      <name val="Arial"/>
      <family val="2"/>
    </font>
    <font>
      <sz val="8"/>
      <color theme="0"/>
      <name val="Arial"/>
      <family val="2"/>
    </font>
    <font>
      <sz val="10"/>
      <color rgb="FFFF0000"/>
      <name val="Arial"/>
      <family val="2"/>
    </font>
    <font>
      <sz val="10"/>
      <color theme="1"/>
      <name val="Arial"/>
      <family val="2"/>
    </font>
    <font>
      <sz val="8"/>
      <color theme="1"/>
      <name val="Arial"/>
      <family val="2"/>
    </font>
    <font>
      <b/>
      <sz val="10"/>
      <color theme="1"/>
      <name val="Arial"/>
      <family val="2"/>
    </font>
    <font>
      <b/>
      <sz val="8"/>
      <color theme="1"/>
      <name val="Arial"/>
      <family val="2"/>
    </font>
    <font>
      <b/>
      <sz val="11"/>
      <color theme="1"/>
      <name val="Calibri"/>
      <family val="2"/>
      <scheme val="minor"/>
    </font>
    <font>
      <i/>
      <sz val="10"/>
      <color theme="0"/>
      <name val="Arial"/>
      <family val="2"/>
    </font>
  </fonts>
  <fills count="2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lightUp">
        <fgColor theme="9" tint="-0.499984740745262"/>
        <bgColor theme="0" tint="-0.249977111117893"/>
      </patternFill>
    </fill>
    <fill>
      <patternFill patternType="solid">
        <fgColor theme="0" tint="-0.249977111117893"/>
        <bgColor theme="9" tint="-0.499984740745262"/>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theme="1"/>
        <bgColor theme="1"/>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indexed="64"/>
      </left>
      <right style="thin">
        <color indexed="64"/>
      </right>
      <top style="thin">
        <color indexed="64"/>
      </top>
      <bottom/>
      <diagonal/>
    </border>
    <border>
      <left/>
      <right style="thin">
        <color auto="1"/>
      </right>
      <top style="thin">
        <color auto="1"/>
      </top>
      <bottom/>
      <diagonal/>
    </border>
    <border>
      <left/>
      <right/>
      <top style="medium">
        <color indexed="64"/>
      </top>
      <bottom/>
      <diagonal/>
    </border>
    <border>
      <left style="thin">
        <color auto="1"/>
      </left>
      <right/>
      <top style="medium">
        <color auto="1"/>
      </top>
      <bottom/>
      <diagonal/>
    </border>
    <border>
      <left/>
      <right style="thin">
        <color indexed="64"/>
      </right>
      <top style="medium">
        <color auto="1"/>
      </top>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179">
    <xf numFmtId="0" fontId="0" fillId="0" borderId="0" xfId="0"/>
    <xf numFmtId="0" fontId="3" fillId="0" borderId="0" xfId="0" applyFont="1"/>
    <xf numFmtId="3" fontId="3" fillId="0" borderId="0" xfId="0" applyNumberFormat="1" applyFont="1"/>
    <xf numFmtId="166" fontId="3" fillId="0" borderId="0" xfId="0" applyNumberFormat="1" applyFont="1"/>
    <xf numFmtId="0" fontId="5" fillId="0" borderId="0" xfId="0" applyFont="1"/>
    <xf numFmtId="0" fontId="6" fillId="0" borderId="0" xfId="0" applyFont="1"/>
    <xf numFmtId="3" fontId="6" fillId="0" borderId="0" xfId="0" applyNumberFormat="1" applyFont="1"/>
    <xf numFmtId="0" fontId="3" fillId="0" borderId="0" xfId="0" applyFont="1" applyAlignment="1">
      <alignment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applyAlignment="1">
      <alignment vertical="top"/>
    </xf>
    <xf numFmtId="0" fontId="7" fillId="0" borderId="0" xfId="0" applyFont="1" applyAlignment="1" applyProtection="1">
      <alignment horizontal="left"/>
      <protection locked="0" hidden="1"/>
    </xf>
    <xf numFmtId="0" fontId="5" fillId="0" borderId="0" xfId="0" applyFont="1" applyAlignment="1">
      <alignment horizontal="left"/>
    </xf>
    <xf numFmtId="0" fontId="3" fillId="5" borderId="0" xfId="0" applyFont="1" applyFill="1"/>
    <xf numFmtId="0" fontId="3" fillId="9" borderId="0" xfId="0" applyFont="1" applyFill="1"/>
    <xf numFmtId="0" fontId="3" fillId="3" borderId="0" xfId="0" applyFont="1" applyFill="1"/>
    <xf numFmtId="9" fontId="6" fillId="0" borderId="0" xfId="2" applyFont="1"/>
    <xf numFmtId="9" fontId="3" fillId="0" borderId="0" xfId="2" applyFont="1"/>
    <xf numFmtId="168" fontId="3" fillId="0" borderId="0" xfId="2" applyNumberFormat="1" applyFont="1"/>
    <xf numFmtId="49" fontId="3" fillId="9" borderId="0" xfId="0" applyNumberFormat="1" applyFont="1" applyFill="1"/>
    <xf numFmtId="49" fontId="3" fillId="3" borderId="0" xfId="0" applyNumberFormat="1" applyFont="1" applyFill="1"/>
    <xf numFmtId="0" fontId="3" fillId="8" borderId="0" xfId="0" applyFont="1" applyFill="1"/>
    <xf numFmtId="0" fontId="3" fillId="11" borderId="0" xfId="0" applyFont="1" applyFill="1"/>
    <xf numFmtId="49" fontId="3" fillId="11" borderId="0" xfId="0" applyNumberFormat="1" applyFont="1" applyFill="1"/>
    <xf numFmtId="0" fontId="3" fillId="4" borderId="0" xfId="0" applyFont="1" applyFill="1"/>
    <xf numFmtId="49" fontId="3" fillId="4" borderId="0" xfId="0" applyNumberFormat="1" applyFont="1" applyFill="1"/>
    <xf numFmtId="0" fontId="3" fillId="12" borderId="0" xfId="0" applyFont="1" applyFill="1"/>
    <xf numFmtId="0" fontId="3" fillId="2" borderId="0" xfId="0" applyFont="1" applyFill="1"/>
    <xf numFmtId="0" fontId="3" fillId="7" borderId="0" xfId="0" applyFont="1" applyFill="1"/>
    <xf numFmtId="0" fontId="3" fillId="13" borderId="0" xfId="0" applyFont="1" applyFill="1"/>
    <xf numFmtId="49" fontId="3" fillId="13" borderId="0" xfId="0" applyNumberFormat="1" applyFont="1" applyFill="1"/>
    <xf numFmtId="0" fontId="3" fillId="14" borderId="0" xfId="0" applyFont="1" applyFill="1"/>
    <xf numFmtId="1" fontId="3" fillId="0" borderId="0" xfId="0" applyNumberFormat="1" applyFont="1"/>
    <xf numFmtId="1" fontId="10" fillId="14" borderId="1" xfId="0" applyNumberFormat="1" applyFont="1" applyFill="1" applyBorder="1" applyAlignment="1" applyProtection="1">
      <alignment horizontal="center" vertical="center"/>
      <protection locked="0"/>
    </xf>
    <xf numFmtId="0" fontId="10" fillId="14" borderId="1" xfId="0" applyFont="1" applyFill="1" applyBorder="1" applyAlignment="1" applyProtection="1">
      <alignment horizontal="center" vertical="center"/>
      <protection locked="0"/>
    </xf>
    <xf numFmtId="0" fontId="3" fillId="8" borderId="13" xfId="0" applyFont="1" applyFill="1" applyBorder="1"/>
    <xf numFmtId="0" fontId="3" fillId="16" borderId="1" xfId="0" applyFont="1" applyFill="1" applyBorder="1"/>
    <xf numFmtId="0" fontId="3" fillId="8" borderId="12" xfId="0" applyFont="1" applyFill="1" applyBorder="1"/>
    <xf numFmtId="0" fontId="3" fillId="8" borderId="14" xfId="0" applyFont="1" applyFill="1" applyBorder="1"/>
    <xf numFmtId="0" fontId="3" fillId="17" borderId="0" xfId="0" applyFont="1" applyFill="1"/>
    <xf numFmtId="0" fontId="3" fillId="8" borderId="8" xfId="0" applyFont="1" applyFill="1" applyBorder="1"/>
    <xf numFmtId="0" fontId="3" fillId="8" borderId="7" xfId="0" applyFont="1" applyFill="1" applyBorder="1"/>
    <xf numFmtId="0" fontId="3" fillId="8" borderId="9" xfId="0" applyFont="1" applyFill="1" applyBorder="1"/>
    <xf numFmtId="0" fontId="3" fillId="18" borderId="1" xfId="0" applyFont="1" applyFill="1" applyBorder="1"/>
    <xf numFmtId="0" fontId="3" fillId="6" borderId="1" xfId="0" applyFont="1" applyFill="1" applyBorder="1"/>
    <xf numFmtId="0" fontId="3" fillId="19" borderId="1" xfId="0" applyFont="1" applyFill="1" applyBorder="1"/>
    <xf numFmtId="44" fontId="11" fillId="8" borderId="15" xfId="1" applyFont="1" applyFill="1" applyBorder="1" applyAlignment="1" applyProtection="1">
      <alignment vertical="center"/>
    </xf>
    <xf numFmtId="44" fontId="11" fillId="8" borderId="16" xfId="1" applyFont="1" applyFill="1" applyBorder="1" applyAlignment="1" applyProtection="1">
      <alignment vertical="center"/>
    </xf>
    <xf numFmtId="44" fontId="11" fillId="8" borderId="17" xfId="1" applyFont="1" applyFill="1" applyBorder="1" applyAlignment="1" applyProtection="1">
      <alignment vertical="center"/>
    </xf>
    <xf numFmtId="44" fontId="11" fillId="0" borderId="0" xfId="1" applyFont="1" applyFill="1" applyBorder="1" applyAlignment="1" applyProtection="1">
      <alignment vertical="center"/>
    </xf>
    <xf numFmtId="0" fontId="1" fillId="21" borderId="18" xfId="0" applyFont="1" applyFill="1" applyBorder="1"/>
    <xf numFmtId="0" fontId="0" fillId="0" borderId="18" xfId="0" applyBorder="1"/>
    <xf numFmtId="0" fontId="0" fillId="0" borderId="19" xfId="0" applyBorder="1"/>
    <xf numFmtId="0" fontId="3" fillId="6" borderId="10" xfId="0" applyFont="1" applyFill="1" applyBorder="1"/>
    <xf numFmtId="0" fontId="3" fillId="6" borderId="3" xfId="0" applyFont="1" applyFill="1" applyBorder="1"/>
    <xf numFmtId="0" fontId="3" fillId="16" borderId="10" xfId="0" applyFont="1" applyFill="1" applyBorder="1"/>
    <xf numFmtId="0" fontId="3" fillId="16" borderId="5" xfId="0" applyFont="1" applyFill="1" applyBorder="1"/>
    <xf numFmtId="0" fontId="3" fillId="16" borderId="2" xfId="0" applyFont="1" applyFill="1" applyBorder="1"/>
    <xf numFmtId="0" fontId="3" fillId="16" borderId="9" xfId="0" applyFont="1" applyFill="1" applyBorder="1"/>
    <xf numFmtId="0" fontId="3" fillId="16" borderId="11" xfId="0" applyFont="1" applyFill="1" applyBorder="1"/>
    <xf numFmtId="0" fontId="3" fillId="16" borderId="4" xfId="0" applyFont="1" applyFill="1" applyBorder="1"/>
    <xf numFmtId="0" fontId="3" fillId="16" borderId="6" xfId="0" applyFont="1" applyFill="1" applyBorder="1"/>
    <xf numFmtId="44" fontId="11" fillId="8" borderId="0" xfId="1" applyFont="1" applyFill="1" applyBorder="1" applyAlignment="1" applyProtection="1">
      <alignment vertical="center"/>
    </xf>
    <xf numFmtId="1" fontId="10" fillId="0" borderId="0" xfId="0" applyNumberFormat="1" applyFont="1" applyAlignment="1">
      <alignment vertical="center"/>
    </xf>
    <xf numFmtId="1" fontId="8" fillId="0" borderId="0" xfId="0" applyNumberFormat="1" applyFont="1" applyAlignment="1">
      <alignment vertical="center"/>
    </xf>
    <xf numFmtId="1" fontId="14" fillId="0" borderId="0" xfId="0" applyNumberFormat="1" applyFont="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3" fillId="15" borderId="0" xfId="0" applyFont="1" applyFill="1" applyAlignment="1">
      <alignment vertical="center"/>
    </xf>
    <xf numFmtId="0" fontId="13" fillId="15" borderId="0" xfId="0" applyFont="1" applyFill="1" applyAlignment="1">
      <alignment horizontal="center" vertical="center"/>
    </xf>
    <xf numFmtId="1" fontId="10" fillId="0" borderId="0" xfId="0" applyNumberFormat="1" applyFont="1" applyAlignment="1">
      <alignment horizontal="center" vertical="center"/>
    </xf>
    <xf numFmtId="1" fontId="12" fillId="8" borderId="0" xfId="0" applyNumberFormat="1" applyFont="1" applyFill="1" applyAlignment="1">
      <alignment horizontal="center" vertical="center"/>
    </xf>
    <xf numFmtId="0" fontId="15" fillId="20" borderId="0" xfId="0" applyFont="1" applyFill="1" applyAlignment="1">
      <alignment horizontal="left"/>
    </xf>
    <xf numFmtId="1" fontId="9" fillId="20" borderId="0" xfId="0" applyNumberFormat="1" applyFont="1" applyFill="1" applyAlignment="1">
      <alignment horizontal="center" vertical="center"/>
    </xf>
    <xf numFmtId="1" fontId="10" fillId="20" borderId="0" xfId="0" applyNumberFormat="1" applyFont="1" applyFill="1" applyAlignment="1">
      <alignment vertical="center"/>
    </xf>
    <xf numFmtId="0" fontId="10" fillId="8" borderId="15" xfId="0" applyFont="1" applyFill="1" applyBorder="1" applyAlignment="1">
      <alignment horizontal="center" vertical="center"/>
    </xf>
    <xf numFmtId="0" fontId="11" fillId="8" borderId="15" xfId="0" applyFont="1" applyFill="1" applyBorder="1" applyAlignment="1">
      <alignment horizontal="center" vertical="center"/>
    </xf>
    <xf numFmtId="0" fontId="10" fillId="10" borderId="15" xfId="0" applyFont="1" applyFill="1" applyBorder="1" applyAlignment="1">
      <alignment horizontal="center" vertical="center"/>
    </xf>
    <xf numFmtId="1" fontId="11" fillId="5" borderId="15" xfId="0" applyNumberFormat="1" applyFont="1" applyFill="1" applyBorder="1" applyAlignment="1">
      <alignment horizontal="center" vertical="center"/>
    </xf>
    <xf numFmtId="0" fontId="10" fillId="8" borderId="16" xfId="0" applyFont="1" applyFill="1" applyBorder="1" applyAlignment="1">
      <alignment horizontal="center" vertical="center"/>
    </xf>
    <xf numFmtId="0" fontId="11" fillId="8" borderId="16" xfId="0" applyFont="1" applyFill="1" applyBorder="1" applyAlignment="1">
      <alignment horizontal="center" vertical="center"/>
    </xf>
    <xf numFmtId="0" fontId="10" fillId="10" borderId="16" xfId="0" applyFont="1" applyFill="1" applyBorder="1" applyAlignment="1">
      <alignment horizontal="center" vertical="center"/>
    </xf>
    <xf numFmtId="1" fontId="11" fillId="5" borderId="16" xfId="0" applyNumberFormat="1" applyFont="1" applyFill="1" applyBorder="1" applyAlignment="1">
      <alignment horizontal="center" vertical="center"/>
    </xf>
    <xf numFmtId="0" fontId="10" fillId="20" borderId="16" xfId="0" applyFont="1" applyFill="1" applyBorder="1" applyAlignment="1">
      <alignment horizontal="center" vertical="center"/>
    </xf>
    <xf numFmtId="0" fontId="11" fillId="20" borderId="16" xfId="0" applyFont="1" applyFill="1" applyBorder="1" applyAlignment="1">
      <alignment horizontal="center" vertical="center"/>
    </xf>
    <xf numFmtId="1" fontId="11" fillId="20" borderId="16" xfId="0" applyNumberFormat="1" applyFont="1" applyFill="1" applyBorder="1" applyAlignment="1">
      <alignment horizontal="center" vertical="center"/>
    </xf>
    <xf numFmtId="0" fontId="10" fillId="8" borderId="17" xfId="0" applyFont="1" applyFill="1" applyBorder="1" applyAlignment="1">
      <alignment horizontal="center" vertical="center"/>
    </xf>
    <xf numFmtId="0" fontId="11" fillId="8" borderId="17" xfId="0" applyFont="1" applyFill="1" applyBorder="1" applyAlignment="1">
      <alignment horizontal="center" vertical="center"/>
    </xf>
    <xf numFmtId="0" fontId="10" fillId="10" borderId="17" xfId="0" applyFont="1" applyFill="1" applyBorder="1" applyAlignment="1">
      <alignment horizontal="center" vertical="center"/>
    </xf>
    <xf numFmtId="1" fontId="11" fillId="5" borderId="17"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1" fontId="11" fillId="0" borderId="0" xfId="0" applyNumberFormat="1" applyFont="1" applyAlignment="1">
      <alignment horizontal="center" vertical="center"/>
    </xf>
    <xf numFmtId="1" fontId="11" fillId="8" borderId="15" xfId="0" applyNumberFormat="1" applyFont="1" applyFill="1" applyBorder="1" applyAlignment="1">
      <alignment horizontal="left" vertical="center"/>
    </xf>
    <xf numFmtId="1" fontId="11" fillId="8" borderId="16" xfId="0" applyNumberFormat="1" applyFont="1" applyFill="1" applyBorder="1" applyAlignment="1">
      <alignment horizontal="left" vertical="center"/>
    </xf>
    <xf numFmtId="1" fontId="11" fillId="8" borderId="17" xfId="0" applyNumberFormat="1" applyFont="1" applyFill="1" applyBorder="1" applyAlignment="1">
      <alignment horizontal="left" vertical="center"/>
    </xf>
    <xf numFmtId="1" fontId="11" fillId="0" borderId="0" xfId="0" applyNumberFormat="1" applyFont="1" applyAlignment="1">
      <alignment horizontal="left" vertical="center"/>
    </xf>
    <xf numFmtId="0" fontId="16" fillId="0" borderId="0" xfId="0" applyFont="1" applyAlignment="1">
      <alignment vertical="center"/>
    </xf>
    <xf numFmtId="1" fontId="16" fillId="0" borderId="0" xfId="0" applyNumberFormat="1" applyFont="1" applyAlignment="1">
      <alignment vertical="center"/>
    </xf>
    <xf numFmtId="1" fontId="16" fillId="0" borderId="0" xfId="0" applyNumberFormat="1" applyFont="1" applyAlignment="1">
      <alignment horizontal="left" vertical="center"/>
    </xf>
    <xf numFmtId="0" fontId="10"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0" fontId="8" fillId="0" borderId="0" xfId="0" applyFont="1" applyAlignment="1">
      <alignment vertical="center"/>
    </xf>
    <xf numFmtId="0" fontId="12" fillId="0" borderId="0" xfId="0" applyFont="1" applyAlignment="1">
      <alignment horizontal="right" vertical="center"/>
    </xf>
    <xf numFmtId="1" fontId="21" fillId="0" borderId="0" xfId="0" applyNumberFormat="1" applyFont="1" applyAlignment="1">
      <alignment vertical="center"/>
    </xf>
    <xf numFmtId="1" fontId="11" fillId="8" borderId="0" xfId="0" applyNumberFormat="1" applyFont="1" applyFill="1" applyAlignment="1">
      <alignment horizontal="left" vertical="center"/>
    </xf>
    <xf numFmtId="0" fontId="15" fillId="0" borderId="0" xfId="0" applyFont="1" applyAlignment="1">
      <alignment vertical="center"/>
    </xf>
    <xf numFmtId="0" fontId="22" fillId="0" borderId="0" xfId="0" applyFont="1" applyAlignment="1">
      <alignment vertical="center"/>
    </xf>
    <xf numFmtId="0" fontId="16" fillId="0" borderId="0" xfId="0" applyFont="1" applyAlignment="1">
      <alignment horizontal="left" vertical="center"/>
    </xf>
    <xf numFmtId="1" fontId="10" fillId="0" borderId="0" xfId="0" applyNumberFormat="1" applyFont="1" applyAlignment="1">
      <alignment horizontal="left" vertical="center"/>
    </xf>
    <xf numFmtId="1" fontId="10" fillId="20" borderId="1" xfId="0" applyNumberFormat="1" applyFont="1" applyFill="1" applyBorder="1" applyAlignment="1">
      <alignment horizontal="center" vertical="center"/>
    </xf>
    <xf numFmtId="0" fontId="10" fillId="0" borderId="0" xfId="0" applyFont="1" applyAlignment="1">
      <alignment vertical="center" wrapText="1"/>
    </xf>
    <xf numFmtId="0" fontId="11" fillId="8" borderId="15" xfId="0" applyFont="1" applyFill="1" applyBorder="1" applyAlignment="1">
      <alignment horizontal="right" vertical="center" indent="2"/>
    </xf>
    <xf numFmtId="1" fontId="10" fillId="10" borderId="15" xfId="0" applyNumberFormat="1" applyFont="1" applyFill="1" applyBorder="1" applyAlignment="1">
      <alignment horizontal="center" vertical="center"/>
    </xf>
    <xf numFmtId="0" fontId="11" fillId="8" borderId="16" xfId="0" applyFont="1" applyFill="1" applyBorder="1" applyAlignment="1">
      <alignment horizontal="right" vertical="center" indent="2"/>
    </xf>
    <xf numFmtId="1" fontId="10" fillId="0" borderId="0" xfId="0" applyNumberFormat="1" applyFont="1" applyAlignment="1" applyProtection="1">
      <alignment vertical="center"/>
      <protection hidden="1"/>
    </xf>
    <xf numFmtId="1" fontId="8" fillId="0" borderId="0" xfId="0" applyNumberFormat="1" applyFont="1" applyAlignment="1" applyProtection="1">
      <alignment vertical="center"/>
      <protection hidden="1"/>
    </xf>
    <xf numFmtId="1" fontId="10"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vertical="center"/>
      <protection hidden="1"/>
    </xf>
    <xf numFmtId="1" fontId="10" fillId="20" borderId="0" xfId="0" applyNumberFormat="1" applyFont="1" applyFill="1" applyAlignment="1" applyProtection="1">
      <alignment vertical="center"/>
      <protection hidden="1"/>
    </xf>
    <xf numFmtId="1" fontId="8" fillId="20" borderId="0" xfId="0" applyNumberFormat="1" applyFont="1" applyFill="1" applyAlignment="1" applyProtection="1">
      <alignment vertical="center"/>
      <protection hidden="1"/>
    </xf>
    <xf numFmtId="0" fontId="11" fillId="0" borderId="0" xfId="0" applyFont="1" applyAlignment="1" applyProtection="1">
      <alignment horizontal="left" vertical="center"/>
      <protection hidden="1"/>
    </xf>
    <xf numFmtId="1" fontId="16" fillId="0" borderId="0" xfId="0" applyNumberFormat="1" applyFont="1" applyAlignment="1" applyProtection="1">
      <alignment vertical="center"/>
      <protection hidden="1"/>
    </xf>
    <xf numFmtId="1" fontId="19" fillId="0" borderId="0" xfId="0" applyNumberFormat="1" applyFont="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2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21" fillId="0" borderId="8" xfId="0" applyFont="1" applyBorder="1" applyAlignment="1" applyProtection="1">
      <alignment vertical="center"/>
      <protection hidden="1"/>
    </xf>
    <xf numFmtId="0" fontId="23" fillId="0" borderId="0" xfId="0" applyFont="1" applyAlignment="1" applyProtection="1">
      <alignment vertical="center"/>
      <protection hidden="1"/>
    </xf>
    <xf numFmtId="164" fontId="10" fillId="0" borderId="0" xfId="0" applyNumberFormat="1" applyFont="1" applyAlignment="1" applyProtection="1">
      <alignment vertical="center"/>
      <protection hidden="1"/>
    </xf>
    <xf numFmtId="2" fontId="11" fillId="0" borderId="0" xfId="0" applyNumberFormat="1" applyFont="1" applyAlignment="1" applyProtection="1">
      <alignment vertical="center"/>
      <protection hidden="1"/>
    </xf>
    <xf numFmtId="2" fontId="10" fillId="0" borderId="0" xfId="0" applyNumberFormat="1" applyFont="1" applyAlignment="1" applyProtection="1">
      <alignment vertical="center"/>
      <protection hidden="1"/>
    </xf>
    <xf numFmtId="165" fontId="10" fillId="0" borderId="0" xfId="0" applyNumberFormat="1" applyFont="1" applyAlignment="1" applyProtection="1">
      <alignment vertical="center"/>
      <protection hidden="1"/>
    </xf>
    <xf numFmtId="9" fontId="23" fillId="0" borderId="0" xfId="0" applyNumberFormat="1" applyFont="1" applyAlignment="1" applyProtection="1">
      <alignment vertical="center"/>
      <protection hidden="1"/>
    </xf>
    <xf numFmtId="165" fontId="10" fillId="10" borderId="0" xfId="0" applyNumberFormat="1" applyFont="1" applyFill="1" applyAlignment="1" applyProtection="1">
      <alignment vertical="center"/>
      <protection hidden="1"/>
    </xf>
    <xf numFmtId="164" fontId="10" fillId="10" borderId="0" xfId="0" applyNumberFormat="1" applyFont="1" applyFill="1" applyAlignment="1" applyProtection="1">
      <alignment vertical="center"/>
      <protection hidden="1"/>
    </xf>
    <xf numFmtId="1" fontId="10" fillId="10" borderId="0" xfId="0" applyNumberFormat="1" applyFont="1" applyFill="1" applyAlignment="1" applyProtection="1">
      <alignment vertical="center"/>
      <protection hidden="1"/>
    </xf>
    <xf numFmtId="2" fontId="11" fillId="10" borderId="0" xfId="0" applyNumberFormat="1" applyFont="1" applyFill="1" applyAlignment="1" applyProtection="1">
      <alignment vertical="center"/>
      <protection hidden="1"/>
    </xf>
    <xf numFmtId="0" fontId="10" fillId="10" borderId="0" xfId="0" applyFont="1" applyFill="1" applyAlignment="1" applyProtection="1">
      <alignment vertical="center"/>
      <protection hidden="1"/>
    </xf>
    <xf numFmtId="9" fontId="23" fillId="0" borderId="0" xfId="2" applyFont="1" applyAlignment="1" applyProtection="1">
      <alignment vertical="center"/>
      <protection hidden="1"/>
    </xf>
    <xf numFmtId="1" fontId="20" fillId="0" borderId="0" xfId="0" applyNumberFormat="1" applyFont="1" applyAlignment="1" applyProtection="1">
      <alignment vertical="center"/>
      <protection hidden="1"/>
    </xf>
    <xf numFmtId="1" fontId="21" fillId="0" borderId="0" xfId="0" applyNumberFormat="1" applyFont="1" applyAlignment="1" applyProtection="1">
      <alignment vertical="center"/>
      <protection hidden="1"/>
    </xf>
    <xf numFmtId="0" fontId="16" fillId="0" borderId="0" xfId="0" applyFont="1" applyAlignment="1" applyProtection="1">
      <alignment vertical="center"/>
      <protection hidden="1"/>
    </xf>
    <xf numFmtId="0" fontId="15" fillId="0" borderId="0" xfId="0" applyFont="1" applyAlignment="1" applyProtection="1">
      <alignment vertical="center"/>
      <protection hidden="1"/>
    </xf>
    <xf numFmtId="0" fontId="22" fillId="0" borderId="0" xfId="0" applyFont="1" applyAlignment="1" applyProtection="1">
      <alignment vertical="center"/>
      <protection hidden="1"/>
    </xf>
    <xf numFmtId="0" fontId="8" fillId="0" borderId="0" xfId="0" applyFont="1" applyAlignment="1" applyProtection="1">
      <alignment vertical="center"/>
      <protection hidden="1"/>
    </xf>
    <xf numFmtId="0" fontId="23" fillId="0" borderId="0" xfId="0" applyFont="1" applyAlignment="1" applyProtection="1">
      <alignment horizontal="center" vertical="center"/>
      <protection hidden="1"/>
    </xf>
    <xf numFmtId="164" fontId="21" fillId="0" borderId="0" xfId="0" applyNumberFormat="1" applyFont="1" applyAlignment="1" applyProtection="1">
      <alignment vertical="center"/>
      <protection hidden="1"/>
    </xf>
    <xf numFmtId="2" fontId="23" fillId="0" borderId="0" xfId="0" applyNumberFormat="1" applyFont="1" applyAlignment="1" applyProtection="1">
      <alignment vertical="center"/>
      <protection hidden="1"/>
    </xf>
    <xf numFmtId="1" fontId="9" fillId="0" borderId="0" xfId="0" applyNumberFormat="1" applyFont="1" applyAlignment="1" applyProtection="1">
      <alignment vertical="center"/>
      <protection hidden="1"/>
    </xf>
    <xf numFmtId="2" fontId="21" fillId="0" borderId="0" xfId="0" applyNumberFormat="1" applyFont="1" applyAlignment="1" applyProtection="1">
      <alignment vertical="center"/>
      <protection hidden="1"/>
    </xf>
    <xf numFmtId="165" fontId="21" fillId="0" borderId="0" xfId="0" applyNumberFormat="1" applyFont="1" applyAlignment="1" applyProtection="1">
      <alignment vertical="center"/>
      <protection hidden="1"/>
    </xf>
    <xf numFmtId="167" fontId="21"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24" fillId="0" borderId="0" xfId="0" applyFont="1" applyAlignment="1" applyProtection="1">
      <alignment vertical="center"/>
      <protection hidden="1"/>
    </xf>
    <xf numFmtId="1" fontId="11" fillId="0" borderId="0" xfId="0" applyNumberFormat="1" applyFont="1" applyAlignment="1" applyProtection="1">
      <alignment vertical="center"/>
      <protection hidden="1"/>
    </xf>
    <xf numFmtId="0" fontId="21"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0" fontId="8" fillId="0" borderId="0" xfId="0" applyFont="1" applyAlignment="1" applyProtection="1">
      <alignment vertical="center" wrapText="1"/>
      <protection hidden="1"/>
    </xf>
    <xf numFmtId="1" fontId="23" fillId="0" borderId="15" xfId="0" applyNumberFormat="1" applyFont="1" applyBorder="1" applyAlignment="1" applyProtection="1">
      <alignment horizontal="center" vertical="center"/>
      <protection hidden="1"/>
    </xf>
    <xf numFmtId="9" fontId="21" fillId="0" borderId="0" xfId="2" applyFont="1" applyFill="1" applyBorder="1" applyAlignment="1" applyProtection="1">
      <alignment vertical="center"/>
      <protection hidden="1"/>
    </xf>
    <xf numFmtId="9" fontId="21" fillId="0" borderId="0" xfId="0" applyNumberFormat="1" applyFont="1" applyAlignment="1" applyProtection="1">
      <alignment vertical="center"/>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vertical="center" wrapText="1"/>
      <protection hidden="1"/>
    </xf>
    <xf numFmtId="164" fontId="23" fillId="0" borderId="0" xfId="0" applyNumberFormat="1" applyFont="1" applyAlignment="1" applyProtection="1">
      <alignment vertical="center"/>
      <protection hidden="1"/>
    </xf>
    <xf numFmtId="1" fontId="9" fillId="0" borderId="0" xfId="0" applyNumberFormat="1"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15" xfId="0" applyFont="1" applyBorder="1" applyAlignment="1">
      <alignment horizontal="right" vertical="center" indent="2"/>
    </xf>
    <xf numFmtId="0" fontId="11" fillId="0" borderId="16" xfId="0" applyFont="1" applyBorder="1" applyAlignment="1">
      <alignment horizontal="right" vertical="center" indent="2"/>
    </xf>
    <xf numFmtId="0" fontId="25" fillId="0" borderId="0" xfId="0" applyFont="1"/>
    <xf numFmtId="0" fontId="10" fillId="0" borderId="0" xfId="0" applyFont="1" applyAlignment="1" applyProtection="1">
      <alignment vertical="center" wrapText="1"/>
      <protection hidden="1"/>
    </xf>
    <xf numFmtId="0" fontId="11" fillId="0" borderId="15" xfId="0" applyFont="1" applyBorder="1" applyAlignment="1">
      <alignment horizontal="center" vertical="center"/>
    </xf>
    <xf numFmtId="10" fontId="3" fillId="0" borderId="0" xfId="2" applyNumberFormat="1" applyFont="1"/>
    <xf numFmtId="49" fontId="26" fillId="0" borderId="0" xfId="0" applyNumberFormat="1" applyFont="1" applyAlignment="1">
      <alignment horizontal="right" vertical="center"/>
    </xf>
    <xf numFmtId="0" fontId="10" fillId="0" borderId="1" xfId="0" applyFont="1" applyBorder="1" applyAlignment="1">
      <alignment horizontal="center" vertical="center"/>
    </xf>
    <xf numFmtId="0" fontId="26" fillId="0" borderId="0" xfId="0" applyFont="1" applyAlignment="1">
      <alignment horizontal="right" vertical="center"/>
    </xf>
    <xf numFmtId="0" fontId="16" fillId="0" borderId="0" xfId="0" applyFont="1" applyAlignment="1">
      <alignment horizontal="left" vertical="center" wrapText="1"/>
    </xf>
  </cellXfs>
  <cellStyles count="3">
    <cellStyle name="Currency" xfId="1" builtinId="4"/>
    <cellStyle name="Normal" xfId="0" builtinId="0"/>
    <cellStyle name="Percent" xfId="2" builtinId="5"/>
  </cellStyles>
  <dxfs count="7">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4.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5.xml.rels><?xml version="1.0" encoding="UTF-8" standalone="yes"?>
<Relationships xmlns="http://schemas.openxmlformats.org/package/2006/relationships"><Relationship Id="rId8" Type="http://schemas.openxmlformats.org/officeDocument/2006/relationships/image" Target="../media/image20.emf"/><Relationship Id="rId13" Type="http://schemas.openxmlformats.org/officeDocument/2006/relationships/image" Target="../media/image25.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7.png"/><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5" Type="http://schemas.openxmlformats.org/officeDocument/2006/relationships/image" Target="../media/image2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 Id="rId14" Type="http://schemas.openxmlformats.org/officeDocument/2006/relationships/image" Target="../media/image26.emf"/></Relationships>
</file>

<file path=xl/drawings/_rels/drawing6.x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3" Type="http://schemas.openxmlformats.org/officeDocument/2006/relationships/image" Target="../media/image27.emf"/><Relationship Id="rId7" Type="http://schemas.openxmlformats.org/officeDocument/2006/relationships/image" Target="../media/image31.emf"/><Relationship Id="rId12" Type="http://schemas.openxmlformats.org/officeDocument/2006/relationships/image" Target="../media/image36.emf"/><Relationship Id="rId2" Type="http://schemas.openxmlformats.org/officeDocument/2006/relationships/image" Target="../media/image14.emf"/><Relationship Id="rId16" Type="http://schemas.openxmlformats.org/officeDocument/2006/relationships/image" Target="../media/image40.emf"/><Relationship Id="rId1" Type="http://schemas.openxmlformats.org/officeDocument/2006/relationships/image" Target="../media/image7.png"/><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s>
</file>

<file path=xl/drawings/_rels/drawing7.xml.rels><?xml version="1.0" encoding="UTF-8" standalone="yes"?>
<Relationships xmlns="http://schemas.openxmlformats.org/package/2006/relationships"><Relationship Id="rId8" Type="http://schemas.openxmlformats.org/officeDocument/2006/relationships/image" Target="../media/image47.emf"/><Relationship Id="rId13" Type="http://schemas.openxmlformats.org/officeDocument/2006/relationships/image" Target="../media/image52.emf"/><Relationship Id="rId18" Type="http://schemas.openxmlformats.org/officeDocument/2006/relationships/image" Target="../media/image27.emf"/><Relationship Id="rId3" Type="http://schemas.openxmlformats.org/officeDocument/2006/relationships/image" Target="../media/image42.emf"/><Relationship Id="rId7" Type="http://schemas.openxmlformats.org/officeDocument/2006/relationships/image" Target="../media/image46.emf"/><Relationship Id="rId12" Type="http://schemas.openxmlformats.org/officeDocument/2006/relationships/image" Target="../media/image51.emf"/><Relationship Id="rId17" Type="http://schemas.openxmlformats.org/officeDocument/2006/relationships/image" Target="../media/image55.emf"/><Relationship Id="rId2" Type="http://schemas.openxmlformats.org/officeDocument/2006/relationships/image" Target="../media/image41.emf"/><Relationship Id="rId16" Type="http://schemas.openxmlformats.org/officeDocument/2006/relationships/image" Target="../media/image54.emf"/><Relationship Id="rId20" Type="http://schemas.openxmlformats.org/officeDocument/2006/relationships/image" Target="../media/image57.emf"/><Relationship Id="rId1" Type="http://schemas.openxmlformats.org/officeDocument/2006/relationships/image" Target="../media/image7.png"/><Relationship Id="rId6" Type="http://schemas.openxmlformats.org/officeDocument/2006/relationships/image" Target="../media/image45.emf"/><Relationship Id="rId11" Type="http://schemas.openxmlformats.org/officeDocument/2006/relationships/image" Target="../media/image50.emf"/><Relationship Id="rId5" Type="http://schemas.openxmlformats.org/officeDocument/2006/relationships/image" Target="../media/image44.emf"/><Relationship Id="rId15" Type="http://schemas.openxmlformats.org/officeDocument/2006/relationships/image" Target="../media/image14.emf"/><Relationship Id="rId10" Type="http://schemas.openxmlformats.org/officeDocument/2006/relationships/image" Target="../media/image49.emf"/><Relationship Id="rId19" Type="http://schemas.openxmlformats.org/officeDocument/2006/relationships/image" Target="../media/image56.emf"/><Relationship Id="rId4" Type="http://schemas.openxmlformats.org/officeDocument/2006/relationships/image" Target="../media/image43.emf"/><Relationship Id="rId9" Type="http://schemas.openxmlformats.org/officeDocument/2006/relationships/image" Target="../media/image48.emf"/><Relationship Id="rId14" Type="http://schemas.openxmlformats.org/officeDocument/2006/relationships/image" Target="../media/image5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5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38100</xdr:rowOff>
    </xdr:from>
    <xdr:to>
      <xdr:col>3</xdr:col>
      <xdr:colOff>47625</xdr:colOff>
      <xdr:row>8</xdr:row>
      <xdr:rowOff>180975</xdr:rowOff>
    </xdr:to>
    <xdr:pic>
      <xdr:nvPicPr>
        <xdr:cNvPr id="5" name="Picture 4">
          <a:extLst>
            <a:ext uri="{FF2B5EF4-FFF2-40B4-BE49-F238E27FC236}">
              <a16:creationId xmlns:a16="http://schemas.microsoft.com/office/drawing/2014/main" id="{71F01AAE-907D-5117-80C8-DF7EEC9C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209800"/>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190500</xdr:rowOff>
    </xdr:to>
    <xdr:pic>
      <xdr:nvPicPr>
        <xdr:cNvPr id="6" name="Picture 5">
          <a:extLst>
            <a:ext uri="{FF2B5EF4-FFF2-40B4-BE49-F238E27FC236}">
              <a16:creationId xmlns:a16="http://schemas.microsoft.com/office/drawing/2014/main" id="{21629E56-627A-A1C6-1C09-1F1DD2BA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246697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47625</xdr:rowOff>
    </xdr:from>
    <xdr:to>
      <xdr:col>3</xdr:col>
      <xdr:colOff>47625</xdr:colOff>
      <xdr:row>10</xdr:row>
      <xdr:rowOff>200025</xdr:rowOff>
    </xdr:to>
    <xdr:pic>
      <xdr:nvPicPr>
        <xdr:cNvPr id="7" name="Picture 6">
          <a:extLst>
            <a:ext uri="{FF2B5EF4-FFF2-40B4-BE49-F238E27FC236}">
              <a16:creationId xmlns:a16="http://schemas.microsoft.com/office/drawing/2014/main" id="{89F80028-60B2-90B8-0A10-0549710A4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71462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47625</xdr:rowOff>
    </xdr:from>
    <xdr:to>
      <xdr:col>3</xdr:col>
      <xdr:colOff>47625</xdr:colOff>
      <xdr:row>11</xdr:row>
      <xdr:rowOff>219075</xdr:rowOff>
    </xdr:to>
    <xdr:pic>
      <xdr:nvPicPr>
        <xdr:cNvPr id="8" name="Picture 7">
          <a:extLst>
            <a:ext uri="{FF2B5EF4-FFF2-40B4-BE49-F238E27FC236}">
              <a16:creationId xmlns:a16="http://schemas.microsoft.com/office/drawing/2014/main" id="{CD695DCC-BEAE-A839-C93B-B33E983F83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962275"/>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38100</xdr:rowOff>
    </xdr:from>
    <xdr:to>
      <xdr:col>3</xdr:col>
      <xdr:colOff>47625</xdr:colOff>
      <xdr:row>12</xdr:row>
      <xdr:rowOff>228600</xdr:rowOff>
    </xdr:to>
    <xdr:pic>
      <xdr:nvPicPr>
        <xdr:cNvPr id="9" name="Picture 8">
          <a:extLst>
            <a:ext uri="{FF2B5EF4-FFF2-40B4-BE49-F238E27FC236}">
              <a16:creationId xmlns:a16="http://schemas.microsoft.com/office/drawing/2014/main" id="{62384F83-4697-11AA-A937-8CA5EB73339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20040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38100</xdr:rowOff>
    </xdr:from>
    <xdr:to>
      <xdr:col>3</xdr:col>
      <xdr:colOff>47625</xdr:colOff>
      <xdr:row>13</xdr:row>
      <xdr:rowOff>228600</xdr:rowOff>
    </xdr:to>
    <xdr:pic>
      <xdr:nvPicPr>
        <xdr:cNvPr id="10" name="Picture 9">
          <a:extLst>
            <a:ext uri="{FF2B5EF4-FFF2-40B4-BE49-F238E27FC236}">
              <a16:creationId xmlns:a16="http://schemas.microsoft.com/office/drawing/2014/main" id="{6E776926-5A5D-D531-FBC3-09CEEEA48B4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34480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19050</xdr:rowOff>
    </xdr:from>
    <xdr:to>
      <xdr:col>3</xdr:col>
      <xdr:colOff>47625</xdr:colOff>
      <xdr:row>14</xdr:row>
      <xdr:rowOff>228600</xdr:rowOff>
    </xdr:to>
    <xdr:pic>
      <xdr:nvPicPr>
        <xdr:cNvPr id="11" name="Picture 10">
          <a:extLst>
            <a:ext uri="{FF2B5EF4-FFF2-40B4-BE49-F238E27FC236}">
              <a16:creationId xmlns:a16="http://schemas.microsoft.com/office/drawing/2014/main" id="{78EFEF9F-9164-F948-327C-5E0C12162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36766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xdr:row>
      <xdr:rowOff>9525</xdr:rowOff>
    </xdr:from>
    <xdr:to>
      <xdr:col>3</xdr:col>
      <xdr:colOff>47625</xdr:colOff>
      <xdr:row>16</xdr:row>
      <xdr:rowOff>0</xdr:rowOff>
    </xdr:to>
    <xdr:pic>
      <xdr:nvPicPr>
        <xdr:cNvPr id="12" name="Picture 11">
          <a:extLst>
            <a:ext uri="{FF2B5EF4-FFF2-40B4-BE49-F238E27FC236}">
              <a16:creationId xmlns:a16="http://schemas.microsoft.com/office/drawing/2014/main" id="{BC6D0098-69D9-859E-46E4-917DBB4449AD}"/>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914775"/>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1114425</xdr:colOff>
      <xdr:row>1</xdr:row>
      <xdr:rowOff>66675</xdr:rowOff>
    </xdr:from>
    <xdr:to>
      <xdr:col>6</xdr:col>
      <xdr:colOff>1563293</xdr:colOff>
      <xdr:row>1</xdr:row>
      <xdr:rowOff>419100</xdr:rowOff>
    </xdr:to>
    <xdr:pic>
      <xdr:nvPicPr>
        <xdr:cNvPr id="13" name="Picture 12">
          <a:extLst>
            <a:ext uri="{FF2B5EF4-FFF2-40B4-BE49-F238E27FC236}">
              <a16:creationId xmlns:a16="http://schemas.microsoft.com/office/drawing/2014/main" id="{29834979-B6CB-44D2-BBE7-B0B2CCA5A7E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1114425</xdr:colOff>
      <xdr:row>1</xdr:row>
      <xdr:rowOff>66675</xdr:rowOff>
    </xdr:from>
    <xdr:to>
      <xdr:col>6</xdr:col>
      <xdr:colOff>1563293</xdr:colOff>
      <xdr:row>1</xdr:row>
      <xdr:rowOff>419100</xdr:rowOff>
    </xdr:to>
    <xdr:pic>
      <xdr:nvPicPr>
        <xdr:cNvPr id="10" name="Picture 9">
          <a:extLst>
            <a:ext uri="{FF2B5EF4-FFF2-40B4-BE49-F238E27FC236}">
              <a16:creationId xmlns:a16="http://schemas.microsoft.com/office/drawing/2014/main" id="{C9C937DC-3200-4A4C-9EF1-B7E7201B5E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6100" y="314325"/>
          <a:ext cx="1734743" cy="352425"/>
        </a:xfrm>
        <a:prstGeom prst="rect">
          <a:avLst/>
        </a:prstGeom>
      </xdr:spPr>
    </xdr:pic>
    <xdr:clientData/>
  </xdr:twoCellAnchor>
  <xdr:twoCellAnchor editAs="oneCell">
    <xdr:from>
      <xdr:col>2</xdr:col>
      <xdr:colOff>0</xdr:colOff>
      <xdr:row>8</xdr:row>
      <xdr:rowOff>47625</xdr:rowOff>
    </xdr:from>
    <xdr:to>
      <xdr:col>3</xdr:col>
      <xdr:colOff>47625</xdr:colOff>
      <xdr:row>8</xdr:row>
      <xdr:rowOff>190500</xdr:rowOff>
    </xdr:to>
    <xdr:pic>
      <xdr:nvPicPr>
        <xdr:cNvPr id="11" name="Picture 10">
          <a:extLst>
            <a:ext uri="{FF2B5EF4-FFF2-40B4-BE49-F238E27FC236}">
              <a16:creationId xmlns:a16="http://schemas.microsoft.com/office/drawing/2014/main" id="{680D86D2-F8FC-989A-9C8E-F6F9AFF6FC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2219325"/>
          <a:ext cx="1295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xdr:row>
      <xdr:rowOff>47625</xdr:rowOff>
    </xdr:from>
    <xdr:to>
      <xdr:col>3</xdr:col>
      <xdr:colOff>47625</xdr:colOff>
      <xdr:row>9</xdr:row>
      <xdr:rowOff>200025</xdr:rowOff>
    </xdr:to>
    <xdr:pic>
      <xdr:nvPicPr>
        <xdr:cNvPr id="12" name="Picture 11">
          <a:extLst>
            <a:ext uri="{FF2B5EF4-FFF2-40B4-BE49-F238E27FC236}">
              <a16:creationId xmlns:a16="http://schemas.microsoft.com/office/drawing/2014/main" id="{DD4AF90E-36F8-B58C-5B1F-B2A7C9E9EC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62150" y="2466975"/>
          <a:ext cx="1295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38100</xdr:rowOff>
    </xdr:from>
    <xdr:to>
      <xdr:col>3</xdr:col>
      <xdr:colOff>47625</xdr:colOff>
      <xdr:row>10</xdr:row>
      <xdr:rowOff>209550</xdr:rowOff>
    </xdr:to>
    <xdr:pic>
      <xdr:nvPicPr>
        <xdr:cNvPr id="13" name="Picture 12">
          <a:extLst>
            <a:ext uri="{FF2B5EF4-FFF2-40B4-BE49-F238E27FC236}">
              <a16:creationId xmlns:a16="http://schemas.microsoft.com/office/drawing/2014/main" id="{D9D8A973-A78A-F33F-6F32-56D340BC476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62150" y="2705100"/>
          <a:ext cx="12954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xdr:row>
      <xdr:rowOff>38100</xdr:rowOff>
    </xdr:from>
    <xdr:to>
      <xdr:col>3</xdr:col>
      <xdr:colOff>47625</xdr:colOff>
      <xdr:row>11</xdr:row>
      <xdr:rowOff>228600</xdr:rowOff>
    </xdr:to>
    <xdr:pic>
      <xdr:nvPicPr>
        <xdr:cNvPr id="14" name="Picture 13">
          <a:extLst>
            <a:ext uri="{FF2B5EF4-FFF2-40B4-BE49-F238E27FC236}">
              <a16:creationId xmlns:a16="http://schemas.microsoft.com/office/drawing/2014/main" id="{5F4F44CF-D2BE-AE2A-DB3F-ACD77EBA50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2150" y="2952750"/>
          <a:ext cx="1295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xdr:row>
      <xdr:rowOff>19050</xdr:rowOff>
    </xdr:from>
    <xdr:to>
      <xdr:col>3</xdr:col>
      <xdr:colOff>47625</xdr:colOff>
      <xdr:row>12</xdr:row>
      <xdr:rowOff>228600</xdr:rowOff>
    </xdr:to>
    <xdr:pic>
      <xdr:nvPicPr>
        <xdr:cNvPr id="15" name="Picture 14">
          <a:extLst>
            <a:ext uri="{FF2B5EF4-FFF2-40B4-BE49-F238E27FC236}">
              <a16:creationId xmlns:a16="http://schemas.microsoft.com/office/drawing/2014/main" id="{8A1DD627-BF22-7CE9-7297-BED54826FD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2150" y="3181350"/>
          <a:ext cx="12954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xdr:row>
      <xdr:rowOff>0</xdr:rowOff>
    </xdr:from>
    <xdr:to>
      <xdr:col>3</xdr:col>
      <xdr:colOff>47625</xdr:colOff>
      <xdr:row>13</xdr:row>
      <xdr:rowOff>238125</xdr:rowOff>
    </xdr:to>
    <xdr:pic>
      <xdr:nvPicPr>
        <xdr:cNvPr id="16" name="Picture 15">
          <a:extLst>
            <a:ext uri="{FF2B5EF4-FFF2-40B4-BE49-F238E27FC236}">
              <a16:creationId xmlns:a16="http://schemas.microsoft.com/office/drawing/2014/main" id="{29A2914A-52C3-768F-71D7-AD4570D732F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62150" y="3409950"/>
          <a:ext cx="12954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1143000</xdr:colOff>
      <xdr:row>1</xdr:row>
      <xdr:rowOff>38099</xdr:rowOff>
    </xdr:from>
    <xdr:to>
      <xdr:col>6</xdr:col>
      <xdr:colOff>1589884</xdr:colOff>
      <xdr:row>1</xdr:row>
      <xdr:rowOff>390524</xdr:rowOff>
    </xdr:to>
    <xdr:pic>
      <xdr:nvPicPr>
        <xdr:cNvPr id="3" name="Picture 2">
          <a:extLst>
            <a:ext uri="{FF2B5EF4-FFF2-40B4-BE49-F238E27FC236}">
              <a16:creationId xmlns:a16="http://schemas.microsoft.com/office/drawing/2014/main" id="{6246A5F0-35B0-B285-1ECA-335BC14731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675" y="2857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7" name="Picture 6">
          <a:extLst>
            <a:ext uri="{FF2B5EF4-FFF2-40B4-BE49-F238E27FC236}">
              <a16:creationId xmlns:a16="http://schemas.microsoft.com/office/drawing/2014/main" id="{79C271FE-395C-4750-8503-79238B631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66517" y="5943715"/>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11" name="Picture 10">
          <a:extLst>
            <a:ext uri="{FF2B5EF4-FFF2-40B4-BE49-F238E27FC236}">
              <a16:creationId xmlns:a16="http://schemas.microsoft.com/office/drawing/2014/main" id="{FC0F2D5D-64B2-AD61-7809-79D283F245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0325" y="215265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12" name="Picture 11">
          <a:extLst>
            <a:ext uri="{FF2B5EF4-FFF2-40B4-BE49-F238E27FC236}">
              <a16:creationId xmlns:a16="http://schemas.microsoft.com/office/drawing/2014/main" id="{A54B0AFC-F76C-4C6C-F92C-C0888D7CB7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43175" y="24193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13" name="Picture 12">
          <a:extLst>
            <a:ext uri="{FF2B5EF4-FFF2-40B4-BE49-F238E27FC236}">
              <a16:creationId xmlns:a16="http://schemas.microsoft.com/office/drawing/2014/main" id="{D9E33C6F-28BF-F911-D3E0-7AA0EDF658C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6025" y="268605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14" name="Picture 13">
          <a:extLst>
            <a:ext uri="{FF2B5EF4-FFF2-40B4-BE49-F238E27FC236}">
              <a16:creationId xmlns:a16="http://schemas.microsoft.com/office/drawing/2014/main" id="{9FD094EB-F5D5-8256-39AB-A376FA642A2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19350" y="29527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15" name="Picture 14">
          <a:extLst>
            <a:ext uri="{FF2B5EF4-FFF2-40B4-BE49-F238E27FC236}">
              <a16:creationId xmlns:a16="http://schemas.microsoft.com/office/drawing/2014/main" id="{074267D8-4057-0C9B-7304-4CB25F7AF6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362200" y="321945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16" name="Picture 15">
          <a:extLst>
            <a:ext uri="{FF2B5EF4-FFF2-40B4-BE49-F238E27FC236}">
              <a16:creationId xmlns:a16="http://schemas.microsoft.com/office/drawing/2014/main" id="{B12F04FF-3B3E-0C5B-6063-F80D77E01E4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14575" y="34861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7" name="Picture 16">
          <a:extLst>
            <a:ext uri="{FF2B5EF4-FFF2-40B4-BE49-F238E27FC236}">
              <a16:creationId xmlns:a16="http://schemas.microsoft.com/office/drawing/2014/main" id="{F5973016-B2E2-CF06-C605-A3FBBCF6A26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75285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8" name="Picture 17">
          <a:extLst>
            <a:ext uri="{FF2B5EF4-FFF2-40B4-BE49-F238E27FC236}">
              <a16:creationId xmlns:a16="http://schemas.microsoft.com/office/drawing/2014/main" id="{58F3CFDB-5967-390F-918E-3F79BA3464A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00275" y="40195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9" name="Picture 18">
          <a:extLst>
            <a:ext uri="{FF2B5EF4-FFF2-40B4-BE49-F238E27FC236}">
              <a16:creationId xmlns:a16="http://schemas.microsoft.com/office/drawing/2014/main" id="{F3FC54D4-6D23-3001-5AC2-A1A339E83E7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43125" y="428625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20" name="Picture 19">
          <a:extLst>
            <a:ext uri="{FF2B5EF4-FFF2-40B4-BE49-F238E27FC236}">
              <a16:creationId xmlns:a16="http://schemas.microsoft.com/office/drawing/2014/main" id="{3CC47480-D795-8D12-C977-BCF7A559215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45529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21" name="Picture 20">
          <a:extLst>
            <a:ext uri="{FF2B5EF4-FFF2-40B4-BE49-F238E27FC236}">
              <a16:creationId xmlns:a16="http://schemas.microsoft.com/office/drawing/2014/main" id="{D240EF7D-956B-7B12-2791-9B4C3B9D63E5}"/>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00250" y="48196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22" name="Picture 21">
          <a:extLst>
            <a:ext uri="{FF2B5EF4-FFF2-40B4-BE49-F238E27FC236}">
              <a16:creationId xmlns:a16="http://schemas.microsoft.com/office/drawing/2014/main" id="{DDDEFF35-2A6C-C2BA-3E43-9FE2545B6AC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71675" y="50863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23" name="Picture 22">
          <a:extLst>
            <a:ext uri="{FF2B5EF4-FFF2-40B4-BE49-F238E27FC236}">
              <a16:creationId xmlns:a16="http://schemas.microsoft.com/office/drawing/2014/main" id="{398DD937-42A6-4B04-B0E0-B4D80D96F55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62927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1123950</xdr:colOff>
      <xdr:row>1</xdr:row>
      <xdr:rowOff>47624</xdr:rowOff>
    </xdr:from>
    <xdr:to>
      <xdr:col>6</xdr:col>
      <xdr:colOff>1570834</xdr:colOff>
      <xdr:row>1</xdr:row>
      <xdr:rowOff>400049</xdr:rowOff>
    </xdr:to>
    <xdr:pic>
      <xdr:nvPicPr>
        <xdr:cNvPr id="2" name="Picture 1">
          <a:extLst>
            <a:ext uri="{FF2B5EF4-FFF2-40B4-BE49-F238E27FC236}">
              <a16:creationId xmlns:a16="http://schemas.microsoft.com/office/drawing/2014/main" id="{16DEE256-C4A1-4856-BA25-300351DC92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5625" y="295274"/>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8AB4BB1E-6276-4DC7-9BF0-C9E77633D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B1465424-2C60-4206-80EB-6631635C5B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604610B2-C0C4-429B-8630-05CA04657A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10F202FD-6EB8-4D63-A69C-55814ADFD3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5B205B4D-B879-4321-99CA-FF6AB485AE6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59E46D6F-B789-47FE-9F19-8F2B6DC2FC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E87AF52B-55C2-473E-B692-4A025C2FEF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E6C41EAC-3E44-4AF9-99F2-41A92342AE1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9431D95E-DAC4-4BEB-BF27-6B68D3A4A9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BF480C83-7250-48F9-B942-2F0C1713326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D311DAA8-4C4F-44CC-BB46-8AA5F2C8632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C3F6DA47-1211-4494-B5E7-D34AEAEE6A7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90CA061B-0070-4D98-8DA8-871E125C7B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637DCB42-A9B0-47B9-AE45-CBAC8075D84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1133475</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A61F4E7C-6BC3-4368-BEC5-51AA9788ED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5150"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6A828243-51C6-465B-91BC-64A7F57C62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714375</xdr:colOff>
      <xdr:row>8</xdr:row>
      <xdr:rowOff>19050</xdr:rowOff>
    </xdr:from>
    <xdr:to>
      <xdr:col>2</xdr:col>
      <xdr:colOff>1066800</xdr:colOff>
      <xdr:row>8</xdr:row>
      <xdr:rowOff>238125</xdr:rowOff>
    </xdr:to>
    <xdr:pic>
      <xdr:nvPicPr>
        <xdr:cNvPr id="4" name="Picture 3">
          <a:extLst>
            <a:ext uri="{FF2B5EF4-FFF2-40B4-BE49-F238E27FC236}">
              <a16:creationId xmlns:a16="http://schemas.microsoft.com/office/drawing/2014/main" id="{4CE682D7-9365-49E2-B9C9-1C800C0B23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76525" y="2400300"/>
          <a:ext cx="3524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1066800</xdr:colOff>
      <xdr:row>9</xdr:row>
      <xdr:rowOff>238125</xdr:rowOff>
    </xdr:to>
    <xdr:pic>
      <xdr:nvPicPr>
        <xdr:cNvPr id="5" name="Picture 4">
          <a:extLst>
            <a:ext uri="{FF2B5EF4-FFF2-40B4-BE49-F238E27FC236}">
              <a16:creationId xmlns:a16="http://schemas.microsoft.com/office/drawing/2014/main" id="{7F7211DE-4CDC-4AB1-9B29-646A43B6C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19375" y="2647950"/>
          <a:ext cx="4095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10</xdr:row>
      <xdr:rowOff>19050</xdr:rowOff>
    </xdr:from>
    <xdr:to>
      <xdr:col>2</xdr:col>
      <xdr:colOff>1066800</xdr:colOff>
      <xdr:row>10</xdr:row>
      <xdr:rowOff>238125</xdr:rowOff>
    </xdr:to>
    <xdr:pic>
      <xdr:nvPicPr>
        <xdr:cNvPr id="6" name="Picture 5">
          <a:extLst>
            <a:ext uri="{FF2B5EF4-FFF2-40B4-BE49-F238E27FC236}">
              <a16:creationId xmlns:a16="http://schemas.microsoft.com/office/drawing/2014/main" id="{89636D71-69F6-476C-9E9A-FE014DF463E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62225" y="2895600"/>
          <a:ext cx="4667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533400</xdr:colOff>
      <xdr:row>11</xdr:row>
      <xdr:rowOff>19050</xdr:rowOff>
    </xdr:from>
    <xdr:to>
      <xdr:col>2</xdr:col>
      <xdr:colOff>1057275</xdr:colOff>
      <xdr:row>11</xdr:row>
      <xdr:rowOff>238125</xdr:rowOff>
    </xdr:to>
    <xdr:pic>
      <xdr:nvPicPr>
        <xdr:cNvPr id="7" name="Picture 6">
          <a:extLst>
            <a:ext uri="{FF2B5EF4-FFF2-40B4-BE49-F238E27FC236}">
              <a16:creationId xmlns:a16="http://schemas.microsoft.com/office/drawing/2014/main" id="{1EED640E-497F-43FB-8E4C-D4C9B576334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95550" y="3143250"/>
          <a:ext cx="5238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12</xdr:row>
      <xdr:rowOff>19050</xdr:rowOff>
    </xdr:from>
    <xdr:to>
      <xdr:col>2</xdr:col>
      <xdr:colOff>1057275</xdr:colOff>
      <xdr:row>12</xdr:row>
      <xdr:rowOff>238125</xdr:rowOff>
    </xdr:to>
    <xdr:pic>
      <xdr:nvPicPr>
        <xdr:cNvPr id="8" name="Picture 7">
          <a:extLst>
            <a:ext uri="{FF2B5EF4-FFF2-40B4-BE49-F238E27FC236}">
              <a16:creationId xmlns:a16="http://schemas.microsoft.com/office/drawing/2014/main" id="{BDFC2B64-1B6A-4CA9-98F2-062F622F239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390900"/>
          <a:ext cx="581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428625</xdr:colOff>
      <xdr:row>13</xdr:row>
      <xdr:rowOff>19050</xdr:rowOff>
    </xdr:from>
    <xdr:to>
      <xdr:col>2</xdr:col>
      <xdr:colOff>1066800</xdr:colOff>
      <xdr:row>13</xdr:row>
      <xdr:rowOff>238125</xdr:rowOff>
    </xdr:to>
    <xdr:pic>
      <xdr:nvPicPr>
        <xdr:cNvPr id="9" name="Picture 8">
          <a:extLst>
            <a:ext uri="{FF2B5EF4-FFF2-40B4-BE49-F238E27FC236}">
              <a16:creationId xmlns:a16="http://schemas.microsoft.com/office/drawing/2014/main" id="{3117C1AF-5D77-4FDA-9091-FAE78DE943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90775" y="3638550"/>
          <a:ext cx="6381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361950</xdr:colOff>
      <xdr:row>14</xdr:row>
      <xdr:rowOff>19050</xdr:rowOff>
    </xdr:from>
    <xdr:to>
      <xdr:col>2</xdr:col>
      <xdr:colOff>1057275</xdr:colOff>
      <xdr:row>14</xdr:row>
      <xdr:rowOff>238125</xdr:rowOff>
    </xdr:to>
    <xdr:pic>
      <xdr:nvPicPr>
        <xdr:cNvPr id="10" name="Picture 9">
          <a:extLst>
            <a:ext uri="{FF2B5EF4-FFF2-40B4-BE49-F238E27FC236}">
              <a16:creationId xmlns:a16="http://schemas.microsoft.com/office/drawing/2014/main" id="{4FEE81BE-3B3E-466D-850F-9A534C9651F6}"/>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24100" y="3886200"/>
          <a:ext cx="6953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15</xdr:row>
      <xdr:rowOff>19050</xdr:rowOff>
    </xdr:from>
    <xdr:to>
      <xdr:col>2</xdr:col>
      <xdr:colOff>1066800</xdr:colOff>
      <xdr:row>15</xdr:row>
      <xdr:rowOff>238125</xdr:rowOff>
    </xdr:to>
    <xdr:pic>
      <xdr:nvPicPr>
        <xdr:cNvPr id="11" name="Picture 10">
          <a:extLst>
            <a:ext uri="{FF2B5EF4-FFF2-40B4-BE49-F238E27FC236}">
              <a16:creationId xmlns:a16="http://schemas.microsoft.com/office/drawing/2014/main" id="{7B4DCB11-3825-4677-B018-979608A84BF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76475" y="4133850"/>
          <a:ext cx="7524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257175</xdr:colOff>
      <xdr:row>16</xdr:row>
      <xdr:rowOff>19050</xdr:rowOff>
    </xdr:from>
    <xdr:to>
      <xdr:col>2</xdr:col>
      <xdr:colOff>1066800</xdr:colOff>
      <xdr:row>16</xdr:row>
      <xdr:rowOff>238125</xdr:rowOff>
    </xdr:to>
    <xdr:pic>
      <xdr:nvPicPr>
        <xdr:cNvPr id="12" name="Picture 11">
          <a:extLst>
            <a:ext uri="{FF2B5EF4-FFF2-40B4-BE49-F238E27FC236}">
              <a16:creationId xmlns:a16="http://schemas.microsoft.com/office/drawing/2014/main" id="{AF2BD9D7-6A6D-49A8-85E2-6394826961C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19325" y="4381500"/>
          <a:ext cx="8096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219075</xdr:colOff>
      <xdr:row>17</xdr:row>
      <xdr:rowOff>19050</xdr:rowOff>
    </xdr:from>
    <xdr:to>
      <xdr:col>2</xdr:col>
      <xdr:colOff>1057275</xdr:colOff>
      <xdr:row>17</xdr:row>
      <xdr:rowOff>238125</xdr:rowOff>
    </xdr:to>
    <xdr:pic>
      <xdr:nvPicPr>
        <xdr:cNvPr id="13" name="Picture 12">
          <a:extLst>
            <a:ext uri="{FF2B5EF4-FFF2-40B4-BE49-F238E27FC236}">
              <a16:creationId xmlns:a16="http://schemas.microsoft.com/office/drawing/2014/main" id="{F8D564E3-5CF7-4933-A3D7-1D6DCE54ACD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81225" y="4629150"/>
          <a:ext cx="838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18</xdr:row>
      <xdr:rowOff>19050</xdr:rowOff>
    </xdr:from>
    <xdr:to>
      <xdr:col>2</xdr:col>
      <xdr:colOff>1038225</xdr:colOff>
      <xdr:row>18</xdr:row>
      <xdr:rowOff>238125</xdr:rowOff>
    </xdr:to>
    <xdr:pic>
      <xdr:nvPicPr>
        <xdr:cNvPr id="14" name="Picture 13">
          <a:extLst>
            <a:ext uri="{FF2B5EF4-FFF2-40B4-BE49-F238E27FC236}">
              <a16:creationId xmlns:a16="http://schemas.microsoft.com/office/drawing/2014/main" id="{FEAA039C-1CA6-4D5F-B4D2-0F5E448BD65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076450" y="48768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19</xdr:row>
      <xdr:rowOff>19050</xdr:rowOff>
    </xdr:from>
    <xdr:to>
      <xdr:col>2</xdr:col>
      <xdr:colOff>1038225</xdr:colOff>
      <xdr:row>19</xdr:row>
      <xdr:rowOff>238125</xdr:rowOff>
    </xdr:to>
    <xdr:pic>
      <xdr:nvPicPr>
        <xdr:cNvPr id="15" name="Picture 14">
          <a:extLst>
            <a:ext uri="{FF2B5EF4-FFF2-40B4-BE49-F238E27FC236}">
              <a16:creationId xmlns:a16="http://schemas.microsoft.com/office/drawing/2014/main" id="{2B962743-D893-4592-A157-9CD0ED7A7B9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047875" y="5124450"/>
          <a:ext cx="9525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22</xdr:row>
      <xdr:rowOff>28575</xdr:rowOff>
    </xdr:from>
    <xdr:to>
      <xdr:col>2</xdr:col>
      <xdr:colOff>1009650</xdr:colOff>
      <xdr:row>23</xdr:row>
      <xdr:rowOff>0</xdr:rowOff>
    </xdr:to>
    <xdr:pic>
      <xdr:nvPicPr>
        <xdr:cNvPr id="16" name="Picture 15">
          <a:extLst>
            <a:ext uri="{FF2B5EF4-FFF2-40B4-BE49-F238E27FC236}">
              <a16:creationId xmlns:a16="http://schemas.microsoft.com/office/drawing/2014/main" id="{8529DB4A-440C-4CFC-8796-D2D5BE8B56C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1600200</xdr:colOff>
      <xdr:row>1</xdr:row>
      <xdr:rowOff>76199</xdr:rowOff>
    </xdr:from>
    <xdr:to>
      <xdr:col>6</xdr:col>
      <xdr:colOff>1580359</xdr:colOff>
      <xdr:row>1</xdr:row>
      <xdr:rowOff>428624</xdr:rowOff>
    </xdr:to>
    <xdr:pic>
      <xdr:nvPicPr>
        <xdr:cNvPr id="2" name="Picture 1">
          <a:extLst>
            <a:ext uri="{FF2B5EF4-FFF2-40B4-BE49-F238E27FC236}">
              <a16:creationId xmlns:a16="http://schemas.microsoft.com/office/drawing/2014/main" id="{8F63D800-EFB5-40E3-A762-D7B8EB221F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1875" y="323849"/>
          <a:ext cx="1732759" cy="352425"/>
        </a:xfrm>
        <a:prstGeom prst="rect">
          <a:avLst/>
        </a:prstGeom>
      </xdr:spPr>
    </xdr:pic>
    <xdr:clientData/>
  </xdr:twoCellAnchor>
  <xdr:twoCellAnchor editAs="oneCell">
    <xdr:from>
      <xdr:col>2</xdr:col>
      <xdr:colOff>837742</xdr:colOff>
      <xdr:row>21</xdr:row>
      <xdr:rowOff>28690</xdr:rowOff>
    </xdr:from>
    <xdr:to>
      <xdr:col>2</xdr:col>
      <xdr:colOff>999667</xdr:colOff>
      <xdr:row>22</xdr:row>
      <xdr:rowOff>115</xdr:rowOff>
    </xdr:to>
    <xdr:pic>
      <xdr:nvPicPr>
        <xdr:cNvPr id="3" name="Picture 2">
          <a:extLst>
            <a:ext uri="{FF2B5EF4-FFF2-40B4-BE49-F238E27FC236}">
              <a16:creationId xmlns:a16="http://schemas.microsoft.com/office/drawing/2014/main" id="{D285C39F-191F-4970-A55D-AD46A89AF6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99892" y="5629390"/>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800100</xdr:colOff>
      <xdr:row>23</xdr:row>
      <xdr:rowOff>28575</xdr:rowOff>
    </xdr:from>
    <xdr:to>
      <xdr:col>2</xdr:col>
      <xdr:colOff>1009650</xdr:colOff>
      <xdr:row>24</xdr:row>
      <xdr:rowOff>0</xdr:rowOff>
    </xdr:to>
    <xdr:pic>
      <xdr:nvPicPr>
        <xdr:cNvPr id="16" name="Picture 15">
          <a:extLst>
            <a:ext uri="{FF2B5EF4-FFF2-40B4-BE49-F238E27FC236}">
              <a16:creationId xmlns:a16="http://schemas.microsoft.com/office/drawing/2014/main" id="{5DBE1878-FE2B-4971-BA4A-51C72DC4DA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2250" y="5876925"/>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666750</xdr:colOff>
      <xdr:row>8</xdr:row>
      <xdr:rowOff>0</xdr:rowOff>
    </xdr:from>
    <xdr:to>
      <xdr:col>3</xdr:col>
      <xdr:colOff>42820</xdr:colOff>
      <xdr:row>8</xdr:row>
      <xdr:rowOff>244800</xdr:rowOff>
    </xdr:to>
    <xdr:pic>
      <xdr:nvPicPr>
        <xdr:cNvPr id="9" name="Picture 8">
          <a:extLst>
            <a:ext uri="{FF2B5EF4-FFF2-40B4-BE49-F238E27FC236}">
              <a16:creationId xmlns:a16="http://schemas.microsoft.com/office/drawing/2014/main" id="{A75785A1-E375-4809-239B-8212D63BE5C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28900" y="2381250"/>
          <a:ext cx="62384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619125</xdr:colOff>
      <xdr:row>9</xdr:row>
      <xdr:rowOff>0</xdr:rowOff>
    </xdr:from>
    <xdr:to>
      <xdr:col>3</xdr:col>
      <xdr:colOff>42576</xdr:colOff>
      <xdr:row>9</xdr:row>
      <xdr:rowOff>244800</xdr:rowOff>
    </xdr:to>
    <xdr:pic>
      <xdr:nvPicPr>
        <xdr:cNvPr id="10" name="Picture 9">
          <a:extLst>
            <a:ext uri="{FF2B5EF4-FFF2-40B4-BE49-F238E27FC236}">
              <a16:creationId xmlns:a16="http://schemas.microsoft.com/office/drawing/2014/main" id="{DE15886A-B9A3-635B-2689-00891671D6F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81275" y="2628900"/>
          <a:ext cx="67122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581025</xdr:colOff>
      <xdr:row>10</xdr:row>
      <xdr:rowOff>0</xdr:rowOff>
    </xdr:from>
    <xdr:to>
      <xdr:col>3</xdr:col>
      <xdr:colOff>51856</xdr:colOff>
      <xdr:row>10</xdr:row>
      <xdr:rowOff>244800</xdr:rowOff>
    </xdr:to>
    <xdr:pic>
      <xdr:nvPicPr>
        <xdr:cNvPr id="11" name="Picture 10">
          <a:extLst>
            <a:ext uri="{FF2B5EF4-FFF2-40B4-BE49-F238E27FC236}">
              <a16:creationId xmlns:a16="http://schemas.microsoft.com/office/drawing/2014/main" id="{3B8C9182-9BD4-E66E-09E6-1B6671D7657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3175" y="2876550"/>
          <a:ext cx="718606"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11</xdr:row>
      <xdr:rowOff>0</xdr:rowOff>
    </xdr:from>
    <xdr:to>
      <xdr:col>3</xdr:col>
      <xdr:colOff>41843</xdr:colOff>
      <xdr:row>11</xdr:row>
      <xdr:rowOff>244800</xdr:rowOff>
    </xdr:to>
    <xdr:pic>
      <xdr:nvPicPr>
        <xdr:cNvPr id="12" name="Picture 11">
          <a:extLst>
            <a:ext uri="{FF2B5EF4-FFF2-40B4-BE49-F238E27FC236}">
              <a16:creationId xmlns:a16="http://schemas.microsoft.com/office/drawing/2014/main" id="{F12B6BAD-2D22-0A44-1AF5-15594614261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438400" y="3124200"/>
          <a:ext cx="81336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381000</xdr:colOff>
      <xdr:row>12</xdr:row>
      <xdr:rowOff>0</xdr:rowOff>
    </xdr:from>
    <xdr:to>
      <xdr:col>3</xdr:col>
      <xdr:colOff>41354</xdr:colOff>
      <xdr:row>12</xdr:row>
      <xdr:rowOff>244800</xdr:rowOff>
    </xdr:to>
    <xdr:pic>
      <xdr:nvPicPr>
        <xdr:cNvPr id="13" name="Picture 12">
          <a:extLst>
            <a:ext uri="{FF2B5EF4-FFF2-40B4-BE49-F238E27FC236}">
              <a16:creationId xmlns:a16="http://schemas.microsoft.com/office/drawing/2014/main" id="{3899C4A5-FDD7-443B-74F4-0C76427F80B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43150" y="3371850"/>
          <a:ext cx="908129"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285750</xdr:colOff>
      <xdr:row>13</xdr:row>
      <xdr:rowOff>0</xdr:rowOff>
    </xdr:from>
    <xdr:to>
      <xdr:col>3</xdr:col>
      <xdr:colOff>40865</xdr:colOff>
      <xdr:row>13</xdr:row>
      <xdr:rowOff>244800</xdr:rowOff>
    </xdr:to>
    <xdr:pic>
      <xdr:nvPicPr>
        <xdr:cNvPr id="14" name="Picture 13">
          <a:extLst>
            <a:ext uri="{FF2B5EF4-FFF2-40B4-BE49-F238E27FC236}">
              <a16:creationId xmlns:a16="http://schemas.microsoft.com/office/drawing/2014/main" id="{7CF14761-634F-4FA9-3DD7-F1E8A685AB3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247900" y="3619500"/>
          <a:ext cx="1002890"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14</xdr:row>
      <xdr:rowOff>0</xdr:rowOff>
    </xdr:from>
    <xdr:to>
      <xdr:col>3</xdr:col>
      <xdr:colOff>40377</xdr:colOff>
      <xdr:row>14</xdr:row>
      <xdr:rowOff>244800</xdr:rowOff>
    </xdr:to>
    <xdr:pic>
      <xdr:nvPicPr>
        <xdr:cNvPr id="15" name="Picture 14">
          <a:extLst>
            <a:ext uri="{FF2B5EF4-FFF2-40B4-BE49-F238E27FC236}">
              <a16:creationId xmlns:a16="http://schemas.microsoft.com/office/drawing/2014/main" id="{488956EC-394D-79AB-5009-2423ED11813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52650" y="3867150"/>
          <a:ext cx="1097652"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104775</xdr:colOff>
      <xdr:row>15</xdr:row>
      <xdr:rowOff>0</xdr:rowOff>
    </xdr:from>
    <xdr:to>
      <xdr:col>3</xdr:col>
      <xdr:colOff>49413</xdr:colOff>
      <xdr:row>15</xdr:row>
      <xdr:rowOff>244800</xdr:rowOff>
    </xdr:to>
    <xdr:pic>
      <xdr:nvPicPr>
        <xdr:cNvPr id="17" name="Picture 16">
          <a:extLst>
            <a:ext uri="{FF2B5EF4-FFF2-40B4-BE49-F238E27FC236}">
              <a16:creationId xmlns:a16="http://schemas.microsoft.com/office/drawing/2014/main" id="{F976DAB2-CE68-79E6-254D-59DA8D88DCC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066925" y="4114800"/>
          <a:ext cx="1192413"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16</xdr:row>
      <xdr:rowOff>0</xdr:rowOff>
    </xdr:from>
    <xdr:to>
      <xdr:col>3</xdr:col>
      <xdr:colOff>48924</xdr:colOff>
      <xdr:row>16</xdr:row>
      <xdr:rowOff>244800</xdr:rowOff>
    </xdr:to>
    <xdr:pic>
      <xdr:nvPicPr>
        <xdr:cNvPr id="18" name="Picture 17">
          <a:extLst>
            <a:ext uri="{FF2B5EF4-FFF2-40B4-BE49-F238E27FC236}">
              <a16:creationId xmlns:a16="http://schemas.microsoft.com/office/drawing/2014/main" id="{D29326D9-FA0A-0A0B-26AB-9B6F53FF8CE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971675" y="4362450"/>
          <a:ext cx="1287174"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1171575</xdr:colOff>
      <xdr:row>17</xdr:row>
      <xdr:rowOff>0</xdr:rowOff>
    </xdr:from>
    <xdr:to>
      <xdr:col>3</xdr:col>
      <xdr:colOff>57960</xdr:colOff>
      <xdr:row>17</xdr:row>
      <xdr:rowOff>244800</xdr:rowOff>
    </xdr:to>
    <xdr:pic>
      <xdr:nvPicPr>
        <xdr:cNvPr id="20" name="Picture 19">
          <a:extLst>
            <a:ext uri="{FF2B5EF4-FFF2-40B4-BE49-F238E27FC236}">
              <a16:creationId xmlns:a16="http://schemas.microsoft.com/office/drawing/2014/main" id="{320EFCDE-F7CD-0770-DC69-3B518A37B51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85950" y="4610100"/>
          <a:ext cx="1381935"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1076325</xdr:colOff>
      <xdr:row>18</xdr:row>
      <xdr:rowOff>0</xdr:rowOff>
    </xdr:from>
    <xdr:to>
      <xdr:col>3</xdr:col>
      <xdr:colOff>57472</xdr:colOff>
      <xdr:row>18</xdr:row>
      <xdr:rowOff>244800</xdr:rowOff>
    </xdr:to>
    <xdr:pic>
      <xdr:nvPicPr>
        <xdr:cNvPr id="23" name="Picture 22">
          <a:extLst>
            <a:ext uri="{FF2B5EF4-FFF2-40B4-BE49-F238E27FC236}">
              <a16:creationId xmlns:a16="http://schemas.microsoft.com/office/drawing/2014/main" id="{08BF28D2-352B-7F25-4CF2-EFB4A566BF87}"/>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790700" y="4857750"/>
          <a:ext cx="1476697"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981075</xdr:colOff>
      <xdr:row>19</xdr:row>
      <xdr:rowOff>0</xdr:rowOff>
    </xdr:from>
    <xdr:to>
      <xdr:col>3</xdr:col>
      <xdr:colOff>56983</xdr:colOff>
      <xdr:row>19</xdr:row>
      <xdr:rowOff>244800</xdr:rowOff>
    </xdr:to>
    <xdr:pic>
      <xdr:nvPicPr>
        <xdr:cNvPr id="24" name="Picture 23">
          <a:extLst>
            <a:ext uri="{FF2B5EF4-FFF2-40B4-BE49-F238E27FC236}">
              <a16:creationId xmlns:a16="http://schemas.microsoft.com/office/drawing/2014/main" id="{AF5E2285-6A20-FFD5-FC8E-3CC2D1D32212}"/>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695450" y="5105400"/>
          <a:ext cx="1571458" cy="24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857250</xdr:colOff>
      <xdr:row>22</xdr:row>
      <xdr:rowOff>9525</xdr:rowOff>
    </xdr:from>
    <xdr:to>
      <xdr:col>2</xdr:col>
      <xdr:colOff>971550</xdr:colOff>
      <xdr:row>22</xdr:row>
      <xdr:rowOff>226695</xdr:rowOff>
    </xdr:to>
    <xdr:pic>
      <xdr:nvPicPr>
        <xdr:cNvPr id="25" name="Picture 24">
          <a:extLst>
            <a:ext uri="{FF2B5EF4-FFF2-40B4-BE49-F238E27FC236}">
              <a16:creationId xmlns:a16="http://schemas.microsoft.com/office/drawing/2014/main" id="{8F3A32EA-1687-D46D-D6BF-D76F8DDE9826}"/>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825750" y="5864225"/>
          <a:ext cx="114300" cy="217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1122761</xdr:colOff>
      <xdr:row>1</xdr:row>
      <xdr:rowOff>50800</xdr:rowOff>
    </xdr:from>
    <xdr:to>
      <xdr:col>6</xdr:col>
      <xdr:colOff>1569248</xdr:colOff>
      <xdr:row>1</xdr:row>
      <xdr:rowOff>403225</xdr:rowOff>
    </xdr:to>
    <xdr:pic>
      <xdr:nvPicPr>
        <xdr:cNvPr id="33" name="Picture 32">
          <a:extLst>
            <a:ext uri="{FF2B5EF4-FFF2-40B4-BE49-F238E27FC236}">
              <a16:creationId xmlns:a16="http://schemas.microsoft.com/office/drawing/2014/main" id="{B7B025AD-3853-4647-A663-C8B9D98F10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4436" y="298450"/>
          <a:ext cx="1732362" cy="352425"/>
        </a:xfrm>
        <a:prstGeom prst="rect">
          <a:avLst/>
        </a:prstGeom>
      </xdr:spPr>
    </xdr:pic>
    <xdr:clientData/>
  </xdr:twoCellAnchor>
  <xdr:twoCellAnchor editAs="oneCell">
    <xdr:from>
      <xdr:col>2</xdr:col>
      <xdr:colOff>586534</xdr:colOff>
      <xdr:row>23</xdr:row>
      <xdr:rowOff>28575</xdr:rowOff>
    </xdr:from>
    <xdr:to>
      <xdr:col>2</xdr:col>
      <xdr:colOff>977059</xdr:colOff>
      <xdr:row>24</xdr:row>
      <xdr:rowOff>0</xdr:rowOff>
    </xdr:to>
    <xdr:pic>
      <xdr:nvPicPr>
        <xdr:cNvPr id="36" name="Picture 35">
          <a:extLst>
            <a:ext uri="{FF2B5EF4-FFF2-40B4-BE49-F238E27FC236}">
              <a16:creationId xmlns:a16="http://schemas.microsoft.com/office/drawing/2014/main" id="{E3DF0ED4-B7E1-A345-4683-D1CCDF968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0374" y="4309087"/>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563696</xdr:colOff>
      <xdr:row>27</xdr:row>
      <xdr:rowOff>22837</xdr:rowOff>
    </xdr:from>
    <xdr:to>
      <xdr:col>2</xdr:col>
      <xdr:colOff>982796</xdr:colOff>
      <xdr:row>27</xdr:row>
      <xdr:rowOff>241912</xdr:rowOff>
    </xdr:to>
    <xdr:pic>
      <xdr:nvPicPr>
        <xdr:cNvPr id="37" name="Picture 36">
          <a:extLst>
            <a:ext uri="{FF2B5EF4-FFF2-40B4-BE49-F238E27FC236}">
              <a16:creationId xmlns:a16="http://schemas.microsoft.com/office/drawing/2014/main" id="{93BB507B-6794-826F-FEF2-8C9C4DE5EE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7536" y="5095186"/>
          <a:ext cx="419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462708</xdr:colOff>
      <xdr:row>24</xdr:row>
      <xdr:rowOff>28575</xdr:rowOff>
    </xdr:from>
    <xdr:to>
      <xdr:col>2</xdr:col>
      <xdr:colOff>977058</xdr:colOff>
      <xdr:row>25</xdr:row>
      <xdr:rowOff>0</xdr:rowOff>
    </xdr:to>
    <xdr:pic>
      <xdr:nvPicPr>
        <xdr:cNvPr id="38" name="Picture 37">
          <a:extLst>
            <a:ext uri="{FF2B5EF4-FFF2-40B4-BE49-F238E27FC236}">
              <a16:creationId xmlns:a16="http://schemas.microsoft.com/office/drawing/2014/main" id="{DF9BE408-8F9D-903F-00FD-D40AEC1049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86548" y="4573033"/>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474184</xdr:colOff>
      <xdr:row>28</xdr:row>
      <xdr:rowOff>17099</xdr:rowOff>
    </xdr:from>
    <xdr:to>
      <xdr:col>2</xdr:col>
      <xdr:colOff>988534</xdr:colOff>
      <xdr:row>28</xdr:row>
      <xdr:rowOff>236174</xdr:rowOff>
    </xdr:to>
    <xdr:pic>
      <xdr:nvPicPr>
        <xdr:cNvPr id="39" name="Picture 38">
          <a:extLst>
            <a:ext uri="{FF2B5EF4-FFF2-40B4-BE49-F238E27FC236}">
              <a16:creationId xmlns:a16="http://schemas.microsoft.com/office/drawing/2014/main" id="{A33744C3-AC58-13E6-0CB3-7144E737E5C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98024" y="5353394"/>
          <a:ext cx="5143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277946</xdr:colOff>
      <xdr:row>25</xdr:row>
      <xdr:rowOff>22837</xdr:rowOff>
    </xdr:from>
    <xdr:to>
      <xdr:col>2</xdr:col>
      <xdr:colOff>982796</xdr:colOff>
      <xdr:row>25</xdr:row>
      <xdr:rowOff>241912</xdr:rowOff>
    </xdr:to>
    <xdr:pic>
      <xdr:nvPicPr>
        <xdr:cNvPr id="40" name="Picture 39">
          <a:extLst>
            <a:ext uri="{FF2B5EF4-FFF2-40B4-BE49-F238E27FC236}">
              <a16:creationId xmlns:a16="http://schemas.microsoft.com/office/drawing/2014/main" id="{04F9A292-8A7D-4618-28B0-FE1BE83DDCA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1786" y="4831241"/>
          <a:ext cx="7048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16</xdr:row>
      <xdr:rowOff>28575</xdr:rowOff>
    </xdr:from>
    <xdr:to>
      <xdr:col>2</xdr:col>
      <xdr:colOff>962025</xdr:colOff>
      <xdr:row>17</xdr:row>
      <xdr:rowOff>0</xdr:rowOff>
    </xdr:to>
    <xdr:pic>
      <xdr:nvPicPr>
        <xdr:cNvPr id="41" name="Picture 40">
          <a:extLst>
            <a:ext uri="{FF2B5EF4-FFF2-40B4-BE49-F238E27FC236}">
              <a16:creationId xmlns:a16="http://schemas.microsoft.com/office/drawing/2014/main" id="{6F15983F-1868-2760-DD3E-1D428762D67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8850" y="300990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582746</xdr:colOff>
      <xdr:row>20</xdr:row>
      <xdr:rowOff>17100</xdr:rowOff>
    </xdr:from>
    <xdr:to>
      <xdr:col>2</xdr:col>
      <xdr:colOff>973271</xdr:colOff>
      <xdr:row>20</xdr:row>
      <xdr:rowOff>236175</xdr:rowOff>
    </xdr:to>
    <xdr:pic>
      <xdr:nvPicPr>
        <xdr:cNvPr id="42" name="Picture 41">
          <a:extLst>
            <a:ext uri="{FF2B5EF4-FFF2-40B4-BE49-F238E27FC236}">
              <a16:creationId xmlns:a16="http://schemas.microsoft.com/office/drawing/2014/main" id="{336560CF-1F82-92F0-6CD9-9192A9BB17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06586" y="3769720"/>
          <a:ext cx="3905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514235</xdr:colOff>
      <xdr:row>17</xdr:row>
      <xdr:rowOff>28575</xdr:rowOff>
    </xdr:from>
    <xdr:to>
      <xdr:col>2</xdr:col>
      <xdr:colOff>971435</xdr:colOff>
      <xdr:row>18</xdr:row>
      <xdr:rowOff>0</xdr:rowOff>
    </xdr:to>
    <xdr:pic>
      <xdr:nvPicPr>
        <xdr:cNvPr id="43" name="Picture 42">
          <a:extLst>
            <a:ext uri="{FF2B5EF4-FFF2-40B4-BE49-F238E27FC236}">
              <a16:creationId xmlns:a16="http://schemas.microsoft.com/office/drawing/2014/main" id="{BF2E11AD-E2D2-7BA0-6546-06D29DC6CE7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38075" y="3253304"/>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516071</xdr:colOff>
      <xdr:row>21</xdr:row>
      <xdr:rowOff>28575</xdr:rowOff>
    </xdr:from>
    <xdr:to>
      <xdr:col>2</xdr:col>
      <xdr:colOff>973271</xdr:colOff>
      <xdr:row>22</xdr:row>
      <xdr:rowOff>0</xdr:rowOff>
    </xdr:to>
    <xdr:pic>
      <xdr:nvPicPr>
        <xdr:cNvPr id="44" name="Picture 43">
          <a:extLst>
            <a:ext uri="{FF2B5EF4-FFF2-40B4-BE49-F238E27FC236}">
              <a16:creationId xmlns:a16="http://schemas.microsoft.com/office/drawing/2014/main" id="{9334EC67-08BF-68E4-0800-B58B4C2384E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139911" y="4045141"/>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329473</xdr:colOff>
      <xdr:row>18</xdr:row>
      <xdr:rowOff>24788</xdr:rowOff>
    </xdr:from>
    <xdr:to>
      <xdr:col>2</xdr:col>
      <xdr:colOff>977173</xdr:colOff>
      <xdr:row>18</xdr:row>
      <xdr:rowOff>243863</xdr:rowOff>
    </xdr:to>
    <xdr:pic>
      <xdr:nvPicPr>
        <xdr:cNvPr id="45" name="Picture 44">
          <a:extLst>
            <a:ext uri="{FF2B5EF4-FFF2-40B4-BE49-F238E27FC236}">
              <a16:creationId xmlns:a16="http://schemas.microsoft.com/office/drawing/2014/main" id="{7FD88D21-2197-8428-2C41-391F5A2DCA8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953313" y="3513463"/>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476250</xdr:colOff>
      <xdr:row>10</xdr:row>
      <xdr:rowOff>38100</xdr:rowOff>
    </xdr:from>
    <xdr:to>
      <xdr:col>2</xdr:col>
      <xdr:colOff>962025</xdr:colOff>
      <xdr:row>11</xdr:row>
      <xdr:rowOff>9525</xdr:rowOff>
    </xdr:to>
    <xdr:pic>
      <xdr:nvPicPr>
        <xdr:cNvPr id="48" name="Picture 47">
          <a:extLst>
            <a:ext uri="{FF2B5EF4-FFF2-40B4-BE49-F238E27FC236}">
              <a16:creationId xmlns:a16="http://schemas.microsoft.com/office/drawing/2014/main" id="{4A6E00F5-26D8-EBE8-3577-4CE5E1E9CEE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05025" y="2486025"/>
          <a:ext cx="4857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11</xdr:row>
      <xdr:rowOff>28575</xdr:rowOff>
    </xdr:from>
    <xdr:to>
      <xdr:col>2</xdr:col>
      <xdr:colOff>962025</xdr:colOff>
      <xdr:row>12</xdr:row>
      <xdr:rowOff>0</xdr:rowOff>
    </xdr:to>
    <xdr:pic>
      <xdr:nvPicPr>
        <xdr:cNvPr id="49" name="Picture 48">
          <a:extLst>
            <a:ext uri="{FF2B5EF4-FFF2-40B4-BE49-F238E27FC236}">
              <a16:creationId xmlns:a16="http://schemas.microsoft.com/office/drawing/2014/main" id="{8740FD61-7ED2-5B73-6D3B-B100FDAFB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943100" y="2743200"/>
          <a:ext cx="6477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657225</xdr:colOff>
      <xdr:row>9</xdr:row>
      <xdr:rowOff>19050</xdr:rowOff>
    </xdr:from>
    <xdr:to>
      <xdr:col>2</xdr:col>
      <xdr:colOff>952500</xdr:colOff>
      <xdr:row>9</xdr:row>
      <xdr:rowOff>238125</xdr:rowOff>
    </xdr:to>
    <xdr:pic>
      <xdr:nvPicPr>
        <xdr:cNvPr id="50" name="Picture 49">
          <a:extLst>
            <a:ext uri="{FF2B5EF4-FFF2-40B4-BE49-F238E27FC236}">
              <a16:creationId xmlns:a16="http://schemas.microsoft.com/office/drawing/2014/main" id="{2AD97895-40CE-992E-0A48-086CA90F8EF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86000" y="2200275"/>
          <a:ext cx="2952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837742</xdr:colOff>
      <xdr:row>30</xdr:row>
      <xdr:rowOff>28690</xdr:rowOff>
    </xdr:from>
    <xdr:to>
      <xdr:col>2</xdr:col>
      <xdr:colOff>999667</xdr:colOff>
      <xdr:row>30</xdr:row>
      <xdr:rowOff>247765</xdr:rowOff>
    </xdr:to>
    <xdr:pic>
      <xdr:nvPicPr>
        <xdr:cNvPr id="51" name="Picture 50">
          <a:extLst>
            <a:ext uri="{FF2B5EF4-FFF2-40B4-BE49-F238E27FC236}">
              <a16:creationId xmlns:a16="http://schemas.microsoft.com/office/drawing/2014/main" id="{801FDEDB-731B-F02F-A9CD-AE209B8CFF9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61582" y="562893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837741</xdr:colOff>
      <xdr:row>31</xdr:row>
      <xdr:rowOff>17214</xdr:rowOff>
    </xdr:from>
    <xdr:to>
      <xdr:col>2</xdr:col>
      <xdr:colOff>999666</xdr:colOff>
      <xdr:row>31</xdr:row>
      <xdr:rowOff>236289</xdr:rowOff>
    </xdr:to>
    <xdr:pic>
      <xdr:nvPicPr>
        <xdr:cNvPr id="52" name="Picture 51">
          <a:extLst>
            <a:ext uri="{FF2B5EF4-FFF2-40B4-BE49-F238E27FC236}">
              <a16:creationId xmlns:a16="http://schemas.microsoft.com/office/drawing/2014/main" id="{2EAFD157-3250-D495-D7AF-76929C9DB6F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461581" y="5881401"/>
          <a:ext cx="161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768886</xdr:colOff>
      <xdr:row>32</xdr:row>
      <xdr:rowOff>22952</xdr:rowOff>
    </xdr:from>
    <xdr:to>
      <xdr:col>2</xdr:col>
      <xdr:colOff>997486</xdr:colOff>
      <xdr:row>32</xdr:row>
      <xdr:rowOff>203927</xdr:rowOff>
    </xdr:to>
    <xdr:pic>
      <xdr:nvPicPr>
        <xdr:cNvPr id="54" name="Picture 53">
          <a:extLst>
            <a:ext uri="{FF2B5EF4-FFF2-40B4-BE49-F238E27FC236}">
              <a16:creationId xmlns:a16="http://schemas.microsoft.com/office/drawing/2014/main" id="{33DA1542-B318-C1F0-D858-2AA64AB4750B}"/>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92726" y="6151085"/>
          <a:ext cx="2286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791838</xdr:colOff>
      <xdr:row>33</xdr:row>
      <xdr:rowOff>5738</xdr:rowOff>
    </xdr:from>
    <xdr:to>
      <xdr:col>2</xdr:col>
      <xdr:colOff>1001388</xdr:colOff>
      <xdr:row>33</xdr:row>
      <xdr:rowOff>224813</xdr:rowOff>
    </xdr:to>
    <xdr:pic>
      <xdr:nvPicPr>
        <xdr:cNvPr id="55" name="Picture 54">
          <a:extLst>
            <a:ext uri="{FF2B5EF4-FFF2-40B4-BE49-F238E27FC236}">
              <a16:creationId xmlns:a16="http://schemas.microsoft.com/office/drawing/2014/main" id="{353DFF26-6DC0-4BAB-4A8F-11BD60F2B43E}"/>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415678" y="6397816"/>
          <a:ext cx="2095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600075</xdr:colOff>
      <xdr:row>13</xdr:row>
      <xdr:rowOff>19050</xdr:rowOff>
    </xdr:from>
    <xdr:to>
      <xdr:col>2</xdr:col>
      <xdr:colOff>962025</xdr:colOff>
      <xdr:row>13</xdr:row>
      <xdr:rowOff>238125</xdr:rowOff>
    </xdr:to>
    <xdr:pic>
      <xdr:nvPicPr>
        <xdr:cNvPr id="4" name="Picture 3">
          <a:extLst>
            <a:ext uri="{FF2B5EF4-FFF2-40B4-BE49-F238E27FC236}">
              <a16:creationId xmlns:a16="http://schemas.microsoft.com/office/drawing/2014/main" id="{7BC8BB93-0177-A8EA-D4D9-C16319D001D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562225" y="3524250"/>
          <a:ext cx="3619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495300</xdr:colOff>
      <xdr:row>14</xdr:row>
      <xdr:rowOff>9525</xdr:rowOff>
    </xdr:from>
    <xdr:to>
      <xdr:col>2</xdr:col>
      <xdr:colOff>952500</xdr:colOff>
      <xdr:row>14</xdr:row>
      <xdr:rowOff>228600</xdr:rowOff>
    </xdr:to>
    <xdr:pic>
      <xdr:nvPicPr>
        <xdr:cNvPr id="5" name="Picture 4">
          <a:extLst>
            <a:ext uri="{FF2B5EF4-FFF2-40B4-BE49-F238E27FC236}">
              <a16:creationId xmlns:a16="http://schemas.microsoft.com/office/drawing/2014/main" id="{D16A87E5-7B7C-29C5-609D-CB82C568DF39}"/>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2457450" y="3762375"/>
          <a:ext cx="4572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2E1CF09-9890-44BA-B946-95914CB38AD1}" name="Beregningsmetode" displayName="Beregningsmetode" ref="A1:A3" totalsRowShown="0">
  <tableColumns count="1">
    <tableColumn id="1" xr3:uid="{4996AC40-0DD6-43A3-9421-D899DF6F8E0D}" name="Beregningsmetod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2156-FAFF-4ECD-A5FA-9C460320355D}">
  <dimension ref="B1:Z23"/>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12" width="9.140625" style="127" customWidth="1"/>
    <col min="13" max="13" width="11.140625" style="127" customWidth="1"/>
    <col min="14" max="14" width="9.140625" style="127" customWidth="1"/>
    <col min="15" max="24" width="9.140625" style="127"/>
    <col min="25"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OFFSET(SPROG!$B$11,0,SPROG!$B$2)</f>
        <v>FINNED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P5" s="158"/>
      <c r="Q5" s="158"/>
      <c r="R5" s="158"/>
      <c r="S5" s="158"/>
      <c r="T5" s="158"/>
      <c r="U5" s="158"/>
      <c r="V5" s="158"/>
      <c r="W5" s="158"/>
      <c r="X5" s="158"/>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row>
    <row r="7" spans="2:26" ht="9.9499999999999993" customHeight="1" x14ac:dyDescent="0.25">
      <c r="B7" s="104"/>
      <c r="H7" s="100"/>
      <c r="I7" s="100"/>
      <c r="J7" s="100"/>
      <c r="K7" s="100"/>
      <c r="L7" s="100"/>
      <c r="M7" s="100"/>
      <c r="N7" s="100"/>
      <c r="O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row>
    <row r="9" spans="2:26" ht="20.100000000000001" customHeight="1" thickBot="1" x14ac:dyDescent="0.3">
      <c r="B9" s="75"/>
      <c r="C9" s="75"/>
      <c r="D9" s="113" t="s">
        <v>4</v>
      </c>
      <c r="E9" s="77"/>
      <c r="F9" s="114">
        <f>$G$6</f>
        <v>1000</v>
      </c>
      <c r="G9" s="78">
        <f>ROUND(('Data ALL'!H4*($G$6/1000)),0)</f>
        <v>237</v>
      </c>
      <c r="H9" s="100"/>
      <c r="I9" s="100"/>
      <c r="J9" s="100"/>
      <c r="K9" s="100"/>
      <c r="L9" s="100"/>
      <c r="M9" s="100"/>
      <c r="N9" s="100"/>
      <c r="O9" s="100"/>
    </row>
    <row r="10" spans="2:26" ht="20.100000000000001" customHeight="1" thickBot="1" x14ac:dyDescent="0.3">
      <c r="B10" s="79"/>
      <c r="C10" s="79"/>
      <c r="D10" s="115" t="s">
        <v>5</v>
      </c>
      <c r="E10" s="81"/>
      <c r="F10" s="81">
        <f t="shared" ref="F10:F16" si="0">$G$6</f>
        <v>1000</v>
      </c>
      <c r="G10" s="78">
        <f>ROUND(('Data ALL'!H5*($G$6/1000)),0)</f>
        <v>260</v>
      </c>
      <c r="H10" s="100"/>
      <c r="I10" s="100"/>
      <c r="J10" s="100"/>
      <c r="K10" s="100"/>
      <c r="L10" s="100"/>
      <c r="M10" s="100"/>
      <c r="N10" s="100"/>
      <c r="O10" s="100"/>
    </row>
    <row r="11" spans="2:26" ht="20.100000000000001" customHeight="1" thickBot="1" x14ac:dyDescent="0.3">
      <c r="B11" s="79"/>
      <c r="C11" s="80"/>
      <c r="D11" s="115" t="s">
        <v>6</v>
      </c>
      <c r="E11" s="81"/>
      <c r="F11" s="81">
        <f t="shared" si="0"/>
        <v>1000</v>
      </c>
      <c r="G11" s="78">
        <f>ROUND(('Data ALL'!H6*($G$6/1000)),0)</f>
        <v>286</v>
      </c>
      <c r="H11" s="100"/>
      <c r="I11" s="100"/>
      <c r="J11" s="100"/>
      <c r="K11" s="100"/>
      <c r="L11" s="100"/>
      <c r="M11" s="100"/>
      <c r="N11" s="100"/>
      <c r="O11" s="100"/>
    </row>
    <row r="12" spans="2:26" ht="20.100000000000001" customHeight="1" thickBot="1" x14ac:dyDescent="0.3">
      <c r="B12" s="79"/>
      <c r="C12" s="79"/>
      <c r="D12" s="115" t="s">
        <v>7</v>
      </c>
      <c r="E12" s="81"/>
      <c r="F12" s="81">
        <f t="shared" si="0"/>
        <v>1000</v>
      </c>
      <c r="G12" s="78">
        <f>ROUND(('Data ALL'!H7*($G$6/1000)),0)</f>
        <v>300</v>
      </c>
      <c r="H12" s="100"/>
      <c r="I12" s="100"/>
      <c r="J12" s="100"/>
      <c r="K12" s="100"/>
      <c r="L12" s="100"/>
      <c r="M12" s="100"/>
      <c r="N12" s="100"/>
      <c r="O12" s="100"/>
    </row>
    <row r="13" spans="2:26" ht="20.100000000000001" customHeight="1" thickBot="1" x14ac:dyDescent="0.3">
      <c r="B13" s="79"/>
      <c r="C13" s="79"/>
      <c r="D13" s="115" t="s">
        <v>8</v>
      </c>
      <c r="E13" s="81"/>
      <c r="F13" s="81">
        <f t="shared" si="0"/>
        <v>1000</v>
      </c>
      <c r="G13" s="78">
        <f>ROUND(('Data ALL'!H8*($G$6/1000)),0)</f>
        <v>324</v>
      </c>
      <c r="H13" s="100"/>
      <c r="I13" s="100"/>
      <c r="J13" s="100"/>
      <c r="K13" s="100"/>
      <c r="L13" s="100"/>
      <c r="M13" s="100"/>
      <c r="N13" s="100"/>
      <c r="O13" s="100"/>
    </row>
    <row r="14" spans="2:26" ht="20.100000000000001" customHeight="1" thickBot="1" x14ac:dyDescent="0.3">
      <c r="B14" s="79"/>
      <c r="C14" s="79"/>
      <c r="D14" s="115" t="s">
        <v>9</v>
      </c>
      <c r="E14" s="81"/>
      <c r="F14" s="81">
        <f t="shared" si="0"/>
        <v>1000</v>
      </c>
      <c r="G14" s="78">
        <f>ROUND(('Data ALL'!H9*($G$6/1000)),0)</f>
        <v>352</v>
      </c>
      <c r="H14" s="100"/>
      <c r="I14" s="100"/>
      <c r="J14" s="100"/>
      <c r="K14" s="100"/>
      <c r="L14" s="100"/>
      <c r="M14" s="100"/>
      <c r="N14" s="100"/>
      <c r="O14" s="100"/>
    </row>
    <row r="15" spans="2:26" ht="20.100000000000001" customHeight="1" thickBot="1" x14ac:dyDescent="0.3">
      <c r="B15" s="79"/>
      <c r="C15" s="79"/>
      <c r="D15" s="115" t="s">
        <v>10</v>
      </c>
      <c r="E15" s="81"/>
      <c r="F15" s="81">
        <f t="shared" si="0"/>
        <v>1000</v>
      </c>
      <c r="G15" s="78">
        <f>ROUND(('Data ALL'!H10*($G$6/1000)),0)</f>
        <v>374</v>
      </c>
      <c r="H15" s="100"/>
      <c r="I15" s="100"/>
      <c r="J15" s="100"/>
      <c r="K15" s="100"/>
      <c r="L15" s="100"/>
      <c r="M15" s="100"/>
      <c r="N15" s="100"/>
      <c r="O15" s="100"/>
    </row>
    <row r="16" spans="2:26" ht="20.100000000000001" customHeight="1" thickBot="1" x14ac:dyDescent="0.3">
      <c r="B16" s="79"/>
      <c r="C16" s="79"/>
      <c r="D16" s="115" t="s">
        <v>11</v>
      </c>
      <c r="E16" s="81"/>
      <c r="F16" s="81">
        <f t="shared" si="0"/>
        <v>1000</v>
      </c>
      <c r="G16" s="78">
        <f>ROUND(('Data ALL'!H11*($G$6/1000)),0)</f>
        <v>419</v>
      </c>
      <c r="H16" s="100"/>
      <c r="I16" s="100"/>
      <c r="J16" s="100"/>
      <c r="K16" s="100"/>
      <c r="L16" s="100"/>
      <c r="M16" s="100"/>
      <c r="N16" s="100"/>
      <c r="O16" s="100"/>
    </row>
    <row r="17" spans="2:26" ht="20.100000000000001" customHeight="1" x14ac:dyDescent="0.25">
      <c r="C17" s="90"/>
      <c r="G17" s="63"/>
      <c r="L17" s="152"/>
      <c r="M17" s="152"/>
    </row>
    <row r="18" spans="2:26" ht="20.100000000000001" customHeight="1" x14ac:dyDescent="0.25">
      <c r="B18" s="97" t="str">
        <f ca="1">OFFSET(SPROG!$B$60,0,SPROG!$B$2)</f>
        <v>Min length: 400 mm. Max. Length 6000 mm. 
Please contact MEINERTZ for special sizes and special options.</v>
      </c>
      <c r="C18" s="90"/>
      <c r="G18" s="63"/>
      <c r="L18" s="152"/>
      <c r="M18" s="152"/>
    </row>
    <row r="19" spans="2:26" s="97" customFormat="1" ht="20.100000000000001" customHeight="1" x14ac:dyDescent="0.25">
      <c r="B19" s="97" t="str">
        <f ca="1">OFFSET(SPROG!$B$47,0,SPROG!$B$2)</f>
        <v>Nominal output</v>
      </c>
      <c r="C19" s="97" t="s">
        <v>20</v>
      </c>
      <c r="H19" s="144"/>
      <c r="I19" s="146"/>
      <c r="J19" s="146"/>
      <c r="K19" s="146"/>
      <c r="L19" s="146"/>
      <c r="M19" s="146"/>
      <c r="N19" s="146"/>
      <c r="O19" s="146"/>
      <c r="P19" s="146"/>
      <c r="Q19" s="146"/>
      <c r="R19" s="146"/>
      <c r="S19" s="146"/>
      <c r="T19" s="146"/>
      <c r="U19" s="146"/>
      <c r="V19" s="146"/>
      <c r="W19" s="146"/>
      <c r="X19" s="146"/>
      <c r="Y19" s="155"/>
      <c r="Z19" s="155"/>
    </row>
    <row r="20" spans="2:26" s="97" customFormat="1" ht="20.100000000000001" customHeight="1" x14ac:dyDescent="0.25">
      <c r="B20" s="97" t="str">
        <f ca="1">OFFSET(SPROG!$B$48,0,SPROG!$B$2)</f>
        <v>Conversion factor</v>
      </c>
      <c r="C20" s="98" t="s">
        <v>263</v>
      </c>
      <c r="D20" s="109"/>
      <c r="H20" s="144"/>
      <c r="I20" s="146"/>
      <c r="J20" s="146"/>
      <c r="K20" s="146"/>
      <c r="L20" s="146"/>
      <c r="M20" s="146"/>
      <c r="N20" s="146"/>
      <c r="O20" s="146"/>
      <c r="P20" s="146"/>
      <c r="Q20" s="146"/>
      <c r="R20" s="146"/>
      <c r="S20" s="146"/>
      <c r="T20" s="146"/>
      <c r="U20" s="146"/>
      <c r="V20" s="146"/>
      <c r="W20" s="146"/>
      <c r="X20" s="146"/>
      <c r="Y20" s="155"/>
      <c r="Z20" s="155"/>
    </row>
    <row r="21" spans="2:26" s="97" customFormat="1" ht="39.950000000000003" customHeight="1" x14ac:dyDescent="0.25">
      <c r="B21"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1" s="178"/>
      <c r="D21" s="178"/>
      <c r="E21" s="178"/>
      <c r="F21" s="178"/>
      <c r="G21" s="178"/>
      <c r="H21" s="144"/>
      <c r="I21" s="146"/>
      <c r="J21" s="146"/>
      <c r="K21" s="146"/>
      <c r="L21" s="146"/>
      <c r="M21" s="146"/>
      <c r="N21" s="146"/>
      <c r="O21" s="146"/>
      <c r="P21" s="146"/>
      <c r="Q21" s="146"/>
      <c r="R21" s="146"/>
      <c r="S21" s="146"/>
      <c r="T21" s="146"/>
      <c r="U21" s="146"/>
      <c r="V21" s="146"/>
      <c r="W21" s="146"/>
      <c r="X21" s="146"/>
      <c r="Y21" s="155"/>
      <c r="Z21" s="155"/>
    </row>
    <row r="22" spans="2:26" s="97" customFormat="1" ht="21" customHeight="1" x14ac:dyDescent="0.25">
      <c r="H22" s="144"/>
      <c r="I22" s="146"/>
      <c r="J22" s="146"/>
      <c r="K22" s="146"/>
      <c r="L22" s="146"/>
      <c r="M22" s="146"/>
      <c r="N22" s="146"/>
      <c r="O22" s="146"/>
      <c r="P22" s="146"/>
      <c r="Q22" s="146"/>
      <c r="R22" s="146"/>
      <c r="S22" s="146"/>
      <c r="T22" s="146"/>
      <c r="U22" s="146"/>
      <c r="V22" s="146"/>
      <c r="W22" s="146"/>
      <c r="X22" s="146"/>
      <c r="Y22" s="155"/>
      <c r="Z22" s="155"/>
    </row>
    <row r="23" spans="2:26" ht="21" customHeight="1" x14ac:dyDescent="0.25">
      <c r="B23" s="110"/>
    </row>
  </sheetData>
  <sheetProtection algorithmName="SHA-512" hashValue="mvS/hlSV6DWvcgkJk6PrjXs8y5Sp55MuT4v0yqobjwgHLE4GuHnYIAt3+LmFpJciNICnNt1YItnSB81QUOk26g==" saltValue="d/DjhloFDFbLzlMBCU/a7A==" spinCount="100000" sheet="1" objects="1" scenarios="1" selectLockedCells="1"/>
  <mergeCells count="1">
    <mergeCell ref="B21:G21"/>
  </mergeCells>
  <conditionalFormatting sqref="C6:F6">
    <cfRule type="expression" dxfId="6" priority="1">
      <formula>$C$6&lt;$D$6+10</formula>
    </cfRule>
  </conditionalFormatting>
  <dataValidations count="1">
    <dataValidation type="whole" allowBlank="1" showInputMessage="1" showErrorMessage="1" errorTitle="Invalid value" error="Please select a value between 400 and 6000" sqref="G6" xr:uid="{BEF3A6B5-4C06-4B46-B6E7-CE3B0BE6FE6F}">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624FF10-E0C1-4CC4-A909-CB6832C01F5D}">
          <x14:formula1>
            <xm:f>Dropdown!$A$2:$A$3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F35FD-1776-4A2B-90B0-4F9E1C79C127}">
  <dimension ref="B1:Z21"/>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100" customWidth="1"/>
    <col min="8" max="8" width="9.140625" style="125"/>
    <col min="9" max="21" width="9.140625" style="127"/>
    <col min="22" max="26" width="9.140625" style="147"/>
    <col min="27" max="16384" width="9.140625" style="100"/>
  </cols>
  <sheetData>
    <row r="1" spans="2:26" ht="20.100000000000001" customHeight="1" x14ac:dyDescent="0.25"/>
    <row r="2" spans="2:26" ht="39.950000000000003" customHeight="1" x14ac:dyDescent="0.25"/>
    <row r="3" spans="2:26" ht="30" customHeight="1" x14ac:dyDescent="0.25">
      <c r="B3" s="102" t="str">
        <f ca="1">OFFSET(SPROG!$B$18,0,SPROG!$B$2)</f>
        <v>PLAIN TUBE</v>
      </c>
    </row>
    <row r="4" spans="2:26" ht="30" customHeight="1" x14ac:dyDescent="0.25">
      <c r="B4" s="67" t="str">
        <f ca="1">OFFSET(SPROG!$B$21,0,SPROG!$B$2)</f>
        <v>Calculation method</v>
      </c>
      <c r="C4" s="34" t="s">
        <v>250</v>
      </c>
      <c r="D4" s="103">
        <f>((C6+D6)/2)-E6</f>
        <v>50</v>
      </c>
      <c r="E4" s="103">
        <f>TRUNC((C6-D6)/LN((C6-E6)/(D6-E6)),2)</f>
        <v>49.83</v>
      </c>
      <c r="F4" s="103" t="str">
        <f>LEFT($C$4,1)</f>
        <v>A</v>
      </c>
      <c r="G4" s="67"/>
    </row>
    <row r="5" spans="2:26" s="112" customFormat="1" ht="2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Q5" s="158"/>
      <c r="R5" s="158"/>
      <c r="S5" s="158"/>
      <c r="T5" s="158"/>
      <c r="U5" s="158"/>
      <c r="V5" s="160"/>
      <c r="W5" s="160"/>
      <c r="X5" s="160"/>
      <c r="Y5" s="160"/>
      <c r="Z5" s="160"/>
    </row>
    <row r="6" spans="2:26" ht="21" customHeight="1" x14ac:dyDescent="0.25">
      <c r="B6" s="71" t="str">
        <f>IF($F$4="A","ΔT "&amp;D4,"ΔT "&amp;E4)</f>
        <v>ΔT 50</v>
      </c>
      <c r="C6" s="33">
        <v>75</v>
      </c>
      <c r="D6" s="33">
        <v>65</v>
      </c>
      <c r="E6" s="33">
        <v>20</v>
      </c>
      <c r="F6" s="111"/>
      <c r="G6" s="33">
        <v>1000</v>
      </c>
      <c r="H6" s="100"/>
      <c r="I6" s="100"/>
      <c r="J6" s="100"/>
      <c r="K6" s="100"/>
      <c r="L6" s="100"/>
      <c r="M6" s="100"/>
      <c r="N6" s="100"/>
      <c r="O6" s="100"/>
      <c r="P6" s="100"/>
    </row>
    <row r="7" spans="2:26" ht="9.9499999999999993" customHeight="1" x14ac:dyDescent="0.25">
      <c r="B7" s="104"/>
      <c r="H7" s="100"/>
      <c r="I7" s="100"/>
      <c r="J7" s="100"/>
      <c r="K7" s="100"/>
      <c r="L7" s="100"/>
      <c r="M7" s="100"/>
      <c r="N7" s="100"/>
      <c r="O7" s="100"/>
      <c r="P7" s="100"/>
    </row>
    <row r="8" spans="2:26" ht="20.100000000000001" customHeight="1" x14ac:dyDescent="0.25">
      <c r="B8" s="69" t="str">
        <f ca="1">OFFSET(SPROG!$B$36,0,SPROG!$B$2)</f>
        <v>Configuration</v>
      </c>
      <c r="C8" s="69"/>
      <c r="D8" s="69" t="str">
        <f ca="1">OFFSET(SPROG!$B$37,0,SPROG!$B$2)</f>
        <v>Type</v>
      </c>
      <c r="E8" s="69"/>
      <c r="F8" s="69" t="str">
        <f ca="1">OFFSET(SPROG!$B$32,0,SPROG!$B$2)</f>
        <v>Length - mm</v>
      </c>
      <c r="G8" s="69" t="str">
        <f ca="1">OFFSET(SPROG!$B$31,0,SPROG!$B$2)&amp;G6&amp;" mm"</f>
        <v>Output at 1000 mm</v>
      </c>
      <c r="H8" s="100"/>
      <c r="I8" s="100"/>
      <c r="J8" s="100"/>
      <c r="K8" s="100"/>
      <c r="L8" s="100"/>
      <c r="M8" s="100"/>
      <c r="N8" s="100"/>
      <c r="O8" s="100"/>
      <c r="P8" s="100"/>
    </row>
    <row r="9" spans="2:26" ht="20.100000000000001" customHeight="1" thickBot="1" x14ac:dyDescent="0.3">
      <c r="B9" s="75"/>
      <c r="C9" s="75"/>
      <c r="D9" s="113" t="s">
        <v>183</v>
      </c>
      <c r="E9" s="77"/>
      <c r="F9" s="114">
        <f t="shared" ref="F9:F14" si="0">$G$6</f>
        <v>1000</v>
      </c>
      <c r="G9" s="78">
        <f>ROUND('Data ALL'!B16-('Data ALL'!B16*'Data ALL'!C16),0)</f>
        <v>159</v>
      </c>
      <c r="H9" s="100"/>
      <c r="I9" s="100"/>
      <c r="J9" s="100"/>
      <c r="K9" s="100"/>
      <c r="L9" s="100"/>
      <c r="M9" s="100"/>
      <c r="N9" s="100"/>
      <c r="O9" s="100"/>
      <c r="P9" s="100"/>
    </row>
    <row r="10" spans="2:26" ht="20.100000000000001" customHeight="1" thickBot="1" x14ac:dyDescent="0.3">
      <c r="B10" s="79"/>
      <c r="C10" s="80"/>
      <c r="D10" s="115" t="s">
        <v>184</v>
      </c>
      <c r="E10" s="81"/>
      <c r="F10" s="81">
        <f t="shared" si="0"/>
        <v>1000</v>
      </c>
      <c r="G10" s="78">
        <f>ROUND('Data ALL'!B17-('Data ALL'!B17*'Data ALL'!C17),0)</f>
        <v>186</v>
      </c>
      <c r="H10" s="100"/>
      <c r="I10" s="100"/>
      <c r="J10" s="100"/>
      <c r="K10" s="100"/>
      <c r="L10" s="100"/>
      <c r="M10" s="100"/>
      <c r="N10" s="100"/>
      <c r="O10" s="100"/>
      <c r="P10" s="100"/>
    </row>
    <row r="11" spans="2:26" ht="20.100000000000001" customHeight="1" thickBot="1" x14ac:dyDescent="0.3">
      <c r="B11" s="79"/>
      <c r="C11" s="79"/>
      <c r="D11" s="115" t="s">
        <v>185</v>
      </c>
      <c r="E11" s="81"/>
      <c r="F11" s="81">
        <f t="shared" si="0"/>
        <v>1000</v>
      </c>
      <c r="G11" s="78">
        <f>ROUND('Data ALL'!B18-('Data ALL'!B18*'Data ALL'!C18),0)</f>
        <v>183</v>
      </c>
      <c r="H11" s="100"/>
      <c r="I11" s="100"/>
      <c r="J11" s="100"/>
      <c r="K11" s="100"/>
      <c r="L11" s="100"/>
      <c r="M11" s="100"/>
      <c r="N11" s="100"/>
      <c r="O11" s="100"/>
      <c r="P11" s="100"/>
    </row>
    <row r="12" spans="2:26" ht="20.100000000000001" customHeight="1" thickBot="1" x14ac:dyDescent="0.3">
      <c r="B12" s="79"/>
      <c r="C12" s="79"/>
      <c r="D12" s="115" t="s">
        <v>186</v>
      </c>
      <c r="E12" s="81"/>
      <c r="F12" s="81">
        <f t="shared" si="0"/>
        <v>1000</v>
      </c>
      <c r="G12" s="78">
        <f>ROUND('Data ALL'!B19-('Data ALL'!B19*'Data ALL'!C19),0)</f>
        <v>194</v>
      </c>
      <c r="H12" s="100"/>
      <c r="I12" s="100"/>
      <c r="J12" s="100"/>
      <c r="K12" s="100"/>
      <c r="L12" s="100"/>
      <c r="M12" s="100"/>
      <c r="N12" s="100"/>
      <c r="O12" s="100"/>
      <c r="P12" s="100"/>
    </row>
    <row r="13" spans="2:26" ht="20.100000000000001" customHeight="1" thickBot="1" x14ac:dyDescent="0.3">
      <c r="B13" s="79"/>
      <c r="C13" s="79"/>
      <c r="D13" s="115" t="s">
        <v>187</v>
      </c>
      <c r="E13" s="81"/>
      <c r="F13" s="81">
        <f t="shared" si="0"/>
        <v>1000</v>
      </c>
      <c r="G13" s="78">
        <f>ROUND('Data ALL'!B20-('Data ALL'!B20*'Data ALL'!C20),0)</f>
        <v>217</v>
      </c>
      <c r="H13" s="100"/>
      <c r="I13" s="100"/>
      <c r="J13" s="100"/>
      <c r="K13" s="100"/>
      <c r="L13" s="100"/>
      <c r="M13" s="100"/>
      <c r="N13" s="100"/>
      <c r="O13" s="100"/>
      <c r="P13" s="100"/>
    </row>
    <row r="14" spans="2:26" ht="20.100000000000001" customHeight="1" thickBot="1" x14ac:dyDescent="0.3">
      <c r="B14" s="79"/>
      <c r="C14" s="79"/>
      <c r="D14" s="115" t="s">
        <v>188</v>
      </c>
      <c r="E14" s="81"/>
      <c r="F14" s="81">
        <f t="shared" si="0"/>
        <v>1000</v>
      </c>
      <c r="G14" s="78">
        <f>ROUND('Data ALL'!B21-('Data ALL'!B21*'Data ALL'!C21),0)</f>
        <v>235</v>
      </c>
      <c r="H14" s="100"/>
      <c r="I14" s="100"/>
      <c r="J14" s="100"/>
      <c r="K14" s="100"/>
      <c r="L14" s="100"/>
      <c r="M14" s="100"/>
      <c r="N14" s="100"/>
      <c r="O14" s="100"/>
      <c r="P14" s="100"/>
    </row>
    <row r="15" spans="2:26" ht="20.100000000000001" customHeight="1" x14ac:dyDescent="0.25">
      <c r="C15" s="90"/>
      <c r="G15" s="63"/>
      <c r="M15" s="152"/>
      <c r="N15" s="152"/>
    </row>
    <row r="16" spans="2:26" ht="20.100000000000001" customHeight="1" x14ac:dyDescent="0.25">
      <c r="B16" s="97" t="str">
        <f ca="1">OFFSET(SPROG!$B$60,0,SPROG!$B$2)</f>
        <v>Min length: 400 mm. Max. Length 6000 mm. 
Please contact MEINERTZ for special sizes and special options.</v>
      </c>
      <c r="C16" s="90"/>
      <c r="G16" s="63"/>
      <c r="M16" s="152"/>
      <c r="N16" s="152"/>
    </row>
    <row r="17" spans="2:26" s="97" customFormat="1" ht="20.100000000000001" customHeight="1" x14ac:dyDescent="0.25">
      <c r="B17" s="97" t="str">
        <f ca="1">OFFSET(SPROG!$B$47,0,SPROG!$B$2)</f>
        <v>Nominal output</v>
      </c>
      <c r="C17" s="97" t="s">
        <v>20</v>
      </c>
      <c r="H17" s="144"/>
      <c r="I17" s="146"/>
      <c r="J17" s="146"/>
      <c r="K17" s="146"/>
      <c r="L17" s="146"/>
      <c r="M17" s="146"/>
      <c r="N17" s="146"/>
      <c r="O17" s="144"/>
      <c r="P17" s="144"/>
      <c r="Q17" s="146"/>
      <c r="R17" s="146"/>
      <c r="S17" s="146"/>
      <c r="T17" s="146"/>
      <c r="U17" s="146"/>
      <c r="V17" s="155"/>
      <c r="W17" s="155"/>
      <c r="X17" s="155"/>
      <c r="Y17" s="155"/>
      <c r="Z17" s="155"/>
    </row>
    <row r="18" spans="2:26" s="97" customFormat="1" ht="20.100000000000001" customHeight="1" x14ac:dyDescent="0.25">
      <c r="B18" s="97" t="str">
        <f ca="1">OFFSET(SPROG!$B$48,0,SPROG!$B$2)</f>
        <v>Conversion factor</v>
      </c>
      <c r="C18" s="98" t="s">
        <v>263</v>
      </c>
      <c r="D18" s="109"/>
      <c r="H18" s="144"/>
      <c r="I18" s="146"/>
      <c r="J18" s="146"/>
      <c r="K18" s="146"/>
      <c r="L18" s="146"/>
      <c r="M18" s="146"/>
      <c r="N18" s="146"/>
      <c r="O18" s="146"/>
      <c r="P18" s="146"/>
      <c r="Q18" s="146"/>
      <c r="R18" s="146"/>
      <c r="S18" s="146"/>
      <c r="T18" s="146"/>
      <c r="U18" s="146"/>
      <c r="V18" s="155"/>
      <c r="W18" s="155"/>
      <c r="X18" s="155"/>
      <c r="Y18" s="155"/>
      <c r="Z18" s="155"/>
    </row>
    <row r="19" spans="2:26" s="97" customFormat="1" ht="39.950000000000003" customHeight="1" x14ac:dyDescent="0.25">
      <c r="B1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19" s="178"/>
      <c r="D19" s="178"/>
      <c r="E19" s="178"/>
      <c r="F19" s="178"/>
      <c r="G19" s="178"/>
      <c r="H19" s="144"/>
      <c r="I19" s="146"/>
      <c r="J19" s="146"/>
      <c r="K19" s="146"/>
      <c r="L19" s="146"/>
      <c r="M19" s="146"/>
      <c r="N19" s="146"/>
      <c r="O19" s="146"/>
      <c r="P19" s="146"/>
      <c r="Q19" s="146"/>
      <c r="R19" s="146"/>
      <c r="S19" s="146"/>
      <c r="T19" s="146"/>
      <c r="U19" s="146"/>
      <c r="V19" s="155"/>
      <c r="W19" s="155"/>
      <c r="X19" s="155"/>
      <c r="Y19" s="155"/>
      <c r="Z19" s="155"/>
    </row>
    <row r="20" spans="2:26" s="97" customFormat="1" ht="21" customHeight="1" x14ac:dyDescent="0.25">
      <c r="H20" s="144"/>
      <c r="I20" s="146"/>
      <c r="J20" s="146"/>
      <c r="K20" s="146"/>
      <c r="L20" s="146"/>
      <c r="M20" s="146"/>
      <c r="N20" s="146"/>
      <c r="O20" s="146"/>
      <c r="P20" s="146"/>
      <c r="Q20" s="146"/>
      <c r="R20" s="146"/>
      <c r="S20" s="146"/>
      <c r="T20" s="146"/>
      <c r="U20" s="146"/>
      <c r="V20" s="155"/>
      <c r="W20" s="155"/>
      <c r="X20" s="155"/>
      <c r="Y20" s="155"/>
      <c r="Z20" s="155"/>
    </row>
    <row r="21" spans="2:26" ht="21" customHeight="1" x14ac:dyDescent="0.25">
      <c r="B21" s="110"/>
    </row>
  </sheetData>
  <sheetProtection algorithmName="SHA-512" hashValue="w0+c1z6oTzaXw760wpxzaUnLmNJW2KLEADC8+fkhwG50WVJASQ10LaUxA8jRTV/VhpGJ2O/ptwKaZlBQITZOGw==" saltValue="RD4tjMNVWKAd/zvA17g0jw==" spinCount="100000" sheet="1" objects="1" scenarios="1" selectLockedCells="1"/>
  <mergeCells count="1">
    <mergeCell ref="B19:G19"/>
  </mergeCells>
  <conditionalFormatting sqref="C6:F6">
    <cfRule type="expression" dxfId="5" priority="1">
      <formula>$C$6&lt;$D$6+10</formula>
    </cfRule>
  </conditionalFormatting>
  <dataValidations count="1">
    <dataValidation type="whole" allowBlank="1" showInputMessage="1" showErrorMessage="1" errorTitle="Invalid value" error="Please select a value between 400 and 6000" sqref="G6" xr:uid="{42DB18D8-4D7B-4DF6-AE2D-F623D0E4A015}">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2CB4918-A7CD-4CE0-9C28-6C44B07B92EA}">
          <x14:formula1>
            <xm:f>Dropdown!$A$2:$A$3</xm:f>
          </x14:formula1>
          <xm:sqref>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25"/>
    <col min="9" max="9" width="9.140625" style="127"/>
    <col min="10" max="12" width="14.5703125" style="127" customWidth="1"/>
    <col min="13" max="13" width="14.5703125" style="130" customWidth="1"/>
    <col min="14" max="18" width="9.140625" style="127"/>
    <col min="19"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OFFSET(SPROG!$B$14,0,SPROG!$B$2)</f>
        <v>SKYLINE</v>
      </c>
    </row>
    <row r="4" spans="2:15" ht="30" customHeight="1" x14ac:dyDescent="0.25">
      <c r="B4" s="67" t="str">
        <f ca="1">OFFSET(SPROG!$B$21,0,SPROG!$B$2)</f>
        <v>Calculation method</v>
      </c>
      <c r="C4" s="34" t="s">
        <v>250</v>
      </c>
      <c r="D4" s="103">
        <f>((C6+D6)/2)-E6</f>
        <v>50</v>
      </c>
      <c r="E4" s="103">
        <f>TRUNC((C6-D6)/LN((C6-E6)/(D6-E6)),2)</f>
        <v>49.83</v>
      </c>
      <c r="F4" s="103"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I5" s="100"/>
      <c r="J5" s="100"/>
      <c r="K5" s="100"/>
      <c r="L5" s="100"/>
      <c r="M5" s="100"/>
      <c r="N5" s="100"/>
      <c r="O5" s="130"/>
    </row>
    <row r="6" spans="2:15" ht="20.100000000000001" customHeight="1" x14ac:dyDescent="0.25">
      <c r="B6" s="71" t="str">
        <f>IF($F$4="A","ΔT "&amp;D4,"ΔT "&amp;E4)</f>
        <v>ΔT 50</v>
      </c>
      <c r="C6" s="33">
        <v>75</v>
      </c>
      <c r="D6" s="33">
        <v>65</v>
      </c>
      <c r="E6" s="33">
        <v>20</v>
      </c>
      <c r="F6" s="33">
        <v>70</v>
      </c>
      <c r="G6" s="33">
        <v>1000</v>
      </c>
      <c r="I6" s="100"/>
      <c r="J6" s="100"/>
      <c r="K6" s="100"/>
      <c r="L6" s="100"/>
      <c r="M6" s="100"/>
      <c r="N6" s="100"/>
      <c r="O6" s="130"/>
    </row>
    <row r="7" spans="2:15" ht="9.9499999999999993" customHeight="1" x14ac:dyDescent="0.25">
      <c r="B7" s="104"/>
      <c r="G7" s="100"/>
      <c r="I7" s="100"/>
      <c r="J7" s="100"/>
      <c r="K7" s="100"/>
      <c r="L7" s="100"/>
      <c r="M7" s="100"/>
      <c r="N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row>
    <row r="9" spans="2:15" ht="20.100000000000001" customHeight="1" thickBot="1" x14ac:dyDescent="0.3">
      <c r="B9" s="75"/>
      <c r="C9" s="75"/>
      <c r="D9" s="76" t="str">
        <f>IF($F$6=70,"SL03","DSL03")</f>
        <v>SL03</v>
      </c>
      <c r="E9" s="77">
        <v>59</v>
      </c>
      <c r="F9" s="77">
        <f>IF(AND($G$6&gt;=KONRAD_DATA!$D$3,$G$6&lt;=KONRAD_DATA!$D$4-IF(MID(D9,2,1)="F",KONRAD_DATA!$D$6,0)),$G$6,"")</f>
        <v>1000</v>
      </c>
      <c r="G9" s="78">
        <f>IF($F$6=70,ROUND(('Data ALL'!E26*($G$6/1000)),0),ROUND((('Data ALL'!E26*'Data ALL'!$F$25)*($G$6/1000)),0))</f>
        <v>262</v>
      </c>
      <c r="H9" s="157"/>
      <c r="I9" s="100"/>
      <c r="J9" s="100"/>
      <c r="K9" s="100"/>
      <c r="L9" s="100"/>
      <c r="M9" s="100"/>
      <c r="N9" s="100"/>
    </row>
    <row r="10" spans="2:15" ht="20.100000000000001" customHeight="1" thickBot="1" x14ac:dyDescent="0.3">
      <c r="B10" s="79"/>
      <c r="C10" s="79"/>
      <c r="D10" s="76" t="str">
        <f>IF($F$6=70,"SL04","DSL04")</f>
        <v>SL04</v>
      </c>
      <c r="E10" s="81">
        <f>E9+24</f>
        <v>83</v>
      </c>
      <c r="F10" s="81">
        <f>IF(AND($G$6&gt;=KONRAD_DATA!$D$3,$G$6&lt;=KONRAD_DATA!$D$4-IF(MID(D10,2,1)="F",KONRAD_DATA!$D$6,0)),$G$6,"")</f>
        <v>1000</v>
      </c>
      <c r="G10" s="78">
        <f>IF($F$6=70,ROUND(('Data ALL'!E27*($G$6/1000)),0),ROUND((('Data ALL'!E27*'Data ALL'!$F$25)*($G$6/1000)),0))</f>
        <v>349</v>
      </c>
      <c r="I10" s="100"/>
      <c r="J10" s="100"/>
      <c r="K10" s="100"/>
      <c r="L10" s="100"/>
      <c r="M10" s="100"/>
      <c r="N10" s="100"/>
    </row>
    <row r="11" spans="2:15" ht="20.100000000000001" customHeight="1" thickBot="1" x14ac:dyDescent="0.3">
      <c r="B11" s="79"/>
      <c r="C11" s="79"/>
      <c r="D11" s="76" t="str">
        <f>IF($F$6=70,"SL05","DSL05")</f>
        <v>SL05</v>
      </c>
      <c r="E11" s="81">
        <f t="shared" ref="E11:E20" si="0">E10+24</f>
        <v>107</v>
      </c>
      <c r="F11" s="81">
        <f>IF(AND($G$6&gt;=KONRAD_DATA!$D$3,$G$6&lt;=KONRAD_DATA!$D$4-IF(MID(D11,2,1)="F",KONRAD_DATA!$D$6,0)),$G$6,"")</f>
        <v>1000</v>
      </c>
      <c r="G11" s="78">
        <f>IF($F$6=70,ROUND(('Data ALL'!E28*($G$6/1000)),0),ROUND((('Data ALL'!E28*'Data ALL'!$F$25)*($G$6/1000)),0))</f>
        <v>430</v>
      </c>
      <c r="I11" s="100"/>
      <c r="J11" s="100"/>
      <c r="K11" s="100"/>
      <c r="L11" s="100"/>
      <c r="M11" s="100"/>
      <c r="N11" s="100"/>
    </row>
    <row r="12" spans="2:15" ht="20.100000000000001" customHeight="1" thickBot="1" x14ac:dyDescent="0.3">
      <c r="B12" s="79"/>
      <c r="C12" s="79"/>
      <c r="D12" s="76" t="str">
        <f>IF($F$6=70,"SL06","DSL06")</f>
        <v>SL06</v>
      </c>
      <c r="E12" s="81">
        <f t="shared" si="0"/>
        <v>131</v>
      </c>
      <c r="F12" s="81">
        <f>IF(AND($G$6&gt;=KONRAD_DATA!$D$3,$G$6&lt;=KONRAD_DATA!$D$4-IF(MID(D12,2,1)="F",KONRAD_DATA!$D$6,0)),$G$6,"")</f>
        <v>1000</v>
      </c>
      <c r="G12" s="78">
        <f>IF($F$6=70,ROUND(('Data ALL'!E29*($G$6/1000)),0),ROUND((('Data ALL'!E29*'Data ALL'!$F$25)*($G$6/1000)),0))</f>
        <v>509</v>
      </c>
      <c r="I12" s="100"/>
      <c r="J12" s="100"/>
      <c r="K12" s="100"/>
      <c r="L12" s="100"/>
      <c r="M12" s="100"/>
      <c r="N12" s="100"/>
    </row>
    <row r="13" spans="2:15" ht="20.100000000000001" customHeight="1" thickBot="1" x14ac:dyDescent="0.3">
      <c r="B13" s="79"/>
      <c r="C13" s="79"/>
      <c r="D13" s="76" t="str">
        <f>IF($F$6=70,"SL07","DSL07")</f>
        <v>SL07</v>
      </c>
      <c r="E13" s="81">
        <f t="shared" si="0"/>
        <v>155</v>
      </c>
      <c r="F13" s="81">
        <f>IF(AND($G$6&gt;=KONRAD_DATA!$D$3,$G$6&lt;=KONRAD_DATA!$D$4-IF(MID(D13,2,1)="F",KONRAD_DATA!$D$6,0)),$G$6,"")</f>
        <v>1000</v>
      </c>
      <c r="G13" s="78">
        <f>IF($F$6=70,ROUND(('Data ALL'!E30*($G$6/1000)),0),ROUND((('Data ALL'!E30*'Data ALL'!$F$25)*($G$6/1000)),0))</f>
        <v>585</v>
      </c>
      <c r="I13" s="100"/>
      <c r="J13" s="100"/>
      <c r="K13" s="100"/>
      <c r="L13" s="100"/>
      <c r="M13" s="100"/>
      <c r="N13" s="100"/>
    </row>
    <row r="14" spans="2:15" ht="20.100000000000001" customHeight="1" thickBot="1" x14ac:dyDescent="0.3">
      <c r="B14" s="79"/>
      <c r="C14" s="79"/>
      <c r="D14" s="76" t="str">
        <f>IF($F$6=70,"SL08","DSL08")</f>
        <v>SL08</v>
      </c>
      <c r="E14" s="81">
        <f t="shared" si="0"/>
        <v>179</v>
      </c>
      <c r="F14" s="81">
        <f>IF(AND($G$6&gt;=KONRAD_DATA!$D$3,$G$6&lt;=KONRAD_DATA!$D$4-IF(MID(D14,2,1)="F",KONRAD_DATA!$D$6,0)),$G$6,"")</f>
        <v>1000</v>
      </c>
      <c r="G14" s="78">
        <f>IF($F$6=70,ROUND(('Data ALL'!E31*($G$6/1000)),0),ROUND((('Data ALL'!E31*'Data ALL'!$F$25)*($G$6/1000)),0))</f>
        <v>659</v>
      </c>
      <c r="I14" s="100"/>
      <c r="J14" s="100"/>
      <c r="K14" s="100"/>
      <c r="L14" s="100"/>
      <c r="M14" s="100"/>
      <c r="N14" s="100"/>
    </row>
    <row r="15" spans="2:15" ht="20.100000000000001" customHeight="1" thickBot="1" x14ac:dyDescent="0.3">
      <c r="B15" s="79"/>
      <c r="C15" s="79"/>
      <c r="D15" s="76" t="str">
        <f>IF($F$6=70,"SL09","DSL09")</f>
        <v>SL09</v>
      </c>
      <c r="E15" s="81">
        <f t="shared" si="0"/>
        <v>203</v>
      </c>
      <c r="F15" s="81">
        <f>IF(AND($G$6&gt;=KONRAD_DATA!$D$3,$G$6&lt;=KONRAD_DATA!$D$4-IF(MID(D15,2,1)="F",KONRAD_DATA!$D$6,0)),$G$6,"")</f>
        <v>1000</v>
      </c>
      <c r="G15" s="78">
        <f>IF($F$6=70,ROUND(('Data ALL'!E32*($G$6/1000)),0),ROUND((('Data ALL'!E32*'Data ALL'!$F$25)*($G$6/1000)),0))</f>
        <v>731</v>
      </c>
      <c r="I15" s="100"/>
      <c r="J15" s="100"/>
      <c r="K15" s="100"/>
      <c r="L15" s="100"/>
      <c r="M15" s="100"/>
      <c r="N15" s="100"/>
    </row>
    <row r="16" spans="2:15" ht="20.100000000000001" customHeight="1" thickBot="1" x14ac:dyDescent="0.3">
      <c r="B16" s="79"/>
      <c r="C16" s="79"/>
      <c r="D16" s="76" t="str">
        <f>IF($F$6=70,"SL10","DSL10")</f>
        <v>SL10</v>
      </c>
      <c r="E16" s="81">
        <f t="shared" si="0"/>
        <v>227</v>
      </c>
      <c r="F16" s="81">
        <f>IF(AND($G$6&gt;=KONRAD_DATA!$D$3,$G$6&lt;=KONRAD_DATA!$D$4-IF(MID(D16,2,1)="F",KONRAD_DATA!$D$6,0)),$G$6,"")</f>
        <v>1000</v>
      </c>
      <c r="G16" s="78">
        <f>IF($F$6=70,ROUND(('Data ALL'!E33*($G$6/1000)),0),ROUND((('Data ALL'!E33*'Data ALL'!$F$25)*($G$6/1000)),0))</f>
        <v>801</v>
      </c>
      <c r="I16" s="100"/>
      <c r="J16" s="100"/>
      <c r="K16" s="100"/>
      <c r="L16" s="100"/>
      <c r="M16" s="100"/>
      <c r="N16" s="100"/>
    </row>
    <row r="17" spans="1:26" ht="20.100000000000001" customHeight="1" thickBot="1" x14ac:dyDescent="0.3">
      <c r="B17" s="79"/>
      <c r="C17" s="79"/>
      <c r="D17" s="76" t="str">
        <f>IF($F$6=70,"SL11","DSL11")</f>
        <v>SL11</v>
      </c>
      <c r="E17" s="81">
        <f t="shared" si="0"/>
        <v>251</v>
      </c>
      <c r="F17" s="81">
        <f>IF(AND($G$6&gt;=KONRAD_DATA!$D$3,$G$6&lt;=KONRAD_DATA!$D$4-IF(MID(D17,2,1)="F",KONRAD_DATA!$D$6,0)),$G$6,"")</f>
        <v>1000</v>
      </c>
      <c r="G17" s="78">
        <f>IF($F$6=70,ROUND(('Data ALL'!E34*($G$6/1000)),0),ROUND((('Data ALL'!E34*'Data ALL'!$F$25)*($G$6/1000)),0))</f>
        <v>870</v>
      </c>
      <c r="I17" s="100"/>
      <c r="J17" s="100"/>
      <c r="K17" s="100"/>
      <c r="L17" s="100"/>
      <c r="M17" s="100"/>
      <c r="N17" s="100"/>
    </row>
    <row r="18" spans="1:26" ht="20.100000000000001" customHeight="1" thickBot="1" x14ac:dyDescent="0.3">
      <c r="B18" s="79"/>
      <c r="C18" s="79"/>
      <c r="D18" s="76" t="str">
        <f>IF($F$6=70,"SL12","DSL12")</f>
        <v>SL12</v>
      </c>
      <c r="E18" s="81">
        <f t="shared" si="0"/>
        <v>275</v>
      </c>
      <c r="F18" s="81">
        <f>IF(AND($G$6&gt;=KONRAD_DATA!$D$3,$G$6&lt;=KONRAD_DATA!$D$4-IF(MID(D18,2,1)="F",KONRAD_DATA!$D$6,0)),$G$6,"")</f>
        <v>1000</v>
      </c>
      <c r="G18" s="78">
        <f>IF($F$6=70,ROUND(('Data ALL'!E35*($G$6/1000)),0),ROUND((('Data ALL'!E35*'Data ALL'!$F$25)*($G$6/1000)),0))</f>
        <v>937</v>
      </c>
      <c r="I18" s="100"/>
      <c r="J18" s="100"/>
      <c r="K18" s="100"/>
      <c r="L18" s="100"/>
      <c r="M18" s="100"/>
      <c r="N18" s="100"/>
    </row>
    <row r="19" spans="1:26" ht="20.100000000000001" customHeight="1" thickBot="1" x14ac:dyDescent="0.3">
      <c r="B19" s="79"/>
      <c r="C19" s="79"/>
      <c r="D19" s="76" t="str">
        <f>IF($F$6=70,"SL13","DSL13")</f>
        <v>SL13</v>
      </c>
      <c r="E19" s="81">
        <f t="shared" si="0"/>
        <v>299</v>
      </c>
      <c r="F19" s="81">
        <f>IF(AND($G$6&gt;=KONRAD_DATA!$D$3,$G$6&lt;=KONRAD_DATA!$D$4-IF(MID(D19,2,1)="F",KONRAD_DATA!$D$6,0)),$G$6,"")</f>
        <v>1000</v>
      </c>
      <c r="G19" s="78">
        <f>IF($F$6=70,ROUND(('Data ALL'!E36*($G$6/1000)),0),ROUND((('Data ALL'!E36*'Data ALL'!$F$25)*($G$6/1000)),0))</f>
        <v>1003</v>
      </c>
      <c r="I19" s="100"/>
      <c r="J19" s="100"/>
      <c r="K19" s="100"/>
      <c r="L19" s="100"/>
      <c r="M19" s="100"/>
      <c r="N19" s="100"/>
    </row>
    <row r="20" spans="1:26" ht="20.100000000000001" customHeight="1" thickBot="1" x14ac:dyDescent="0.3">
      <c r="B20" s="79"/>
      <c r="C20" s="79"/>
      <c r="D20" s="76" t="str">
        <f>IF($F$6=70,"SL14","DSL14")</f>
        <v>SL14</v>
      </c>
      <c r="E20" s="81">
        <f t="shared" si="0"/>
        <v>323</v>
      </c>
      <c r="F20" s="81">
        <f>IF(AND($G$6&gt;=KONRAD_DATA!$D$3,$G$6&lt;=KONRAD_DATA!$D$4-IF(MID(D20,2,1)="F",KONRAD_DATA!$D$6,0)),$G$6,"")</f>
        <v>1000</v>
      </c>
      <c r="G20" s="78">
        <f>IF($F$6=70,ROUND(('Data ALL'!E37*($G$6/1000)),0),ROUND((('Data ALL'!E37*'Data ALL'!$F$25)*($G$6/1000)),0))</f>
        <v>1068</v>
      </c>
      <c r="I20" s="100"/>
      <c r="J20" s="100"/>
      <c r="K20" s="100"/>
      <c r="L20" s="100"/>
      <c r="M20" s="100"/>
      <c r="N20" s="100"/>
    </row>
    <row r="21" spans="1:26" s="63" customFormat="1" ht="20.100000000000001" customHeight="1" x14ac:dyDescent="0.25">
      <c r="E21" s="67"/>
      <c r="F21" s="67"/>
      <c r="H21" s="116"/>
      <c r="I21" s="143"/>
      <c r="J21" s="130"/>
      <c r="K21" s="143"/>
      <c r="L21" s="143"/>
      <c r="M21" s="143"/>
      <c r="N21" s="143"/>
      <c r="O21" s="143"/>
      <c r="P21" s="143"/>
      <c r="Q21" s="143"/>
      <c r="R21" s="143"/>
      <c r="S21" s="117"/>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6"/>
      <c r="I22" s="143"/>
      <c r="J22" s="130"/>
      <c r="K22" s="143"/>
      <c r="L22" s="143"/>
      <c r="M22" s="143"/>
      <c r="N22" s="143"/>
      <c r="O22" s="143"/>
      <c r="P22" s="143"/>
      <c r="Q22" s="143"/>
      <c r="R22" s="143"/>
      <c r="S22" s="117"/>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44"/>
      <c r="I26" s="146"/>
      <c r="J26" s="146"/>
      <c r="K26" s="146"/>
      <c r="L26" s="146"/>
      <c r="M26" s="156"/>
      <c r="N26" s="146"/>
      <c r="O26" s="146"/>
      <c r="P26" s="146"/>
      <c r="Q26" s="146"/>
      <c r="R26" s="146"/>
      <c r="S26" s="155"/>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44"/>
      <c r="I27" s="146"/>
      <c r="J27" s="146"/>
      <c r="K27" s="146"/>
      <c r="L27" s="146"/>
      <c r="M27" s="146"/>
      <c r="N27" s="146"/>
      <c r="O27" s="146"/>
      <c r="P27" s="146"/>
      <c r="Q27" s="146"/>
      <c r="R27" s="146"/>
      <c r="S27" s="155"/>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6"/>
      <c r="J28" s="146"/>
      <c r="K28" s="146"/>
      <c r="L28" s="146"/>
      <c r="M28" s="156"/>
      <c r="N28" s="146"/>
      <c r="O28" s="146"/>
      <c r="P28" s="146"/>
      <c r="Q28" s="146"/>
      <c r="R28" s="146"/>
      <c r="S28" s="155"/>
      <c r="T28" s="155"/>
      <c r="U28" s="155"/>
      <c r="V28" s="155"/>
      <c r="W28" s="155"/>
      <c r="X28" s="155"/>
      <c r="Y28" s="155"/>
      <c r="Z28" s="155"/>
    </row>
    <row r="29" spans="1:26" ht="21" customHeight="1" x14ac:dyDescent="0.25">
      <c r="B29" s="110"/>
    </row>
  </sheetData>
  <sheetProtection algorithmName="SHA-512" hashValue="Bm/SU0X5c2QpZCxwkrkFOvr2Ta64fZxGlzm9JoHLbrR0Uh80IZ5kLu3i61F6HBteH8MTk4I0aeEbvqZzSeB6fA==" saltValue="7ivq9EW+Ln4yiFoRoYgIjw==" spinCount="100000" sheet="1" objects="1" scenarios="1" selectLockedCells="1"/>
  <mergeCells count="1">
    <mergeCell ref="B28:G28"/>
  </mergeCells>
  <phoneticPr fontId="2" type="noConversion"/>
  <conditionalFormatting sqref="C6:F6">
    <cfRule type="expression" dxfId="4" priority="1">
      <formula>$C$6&lt;$D$6+10</formula>
    </cfRule>
  </conditionalFormatting>
  <dataValidations count="1">
    <dataValidation type="whole" allowBlank="1" showInputMessage="1" showErrorMessage="1" errorTitle="Invalid value" error="Please select a value between 400 and 6000" sqref="G6" xr:uid="{F7C0ACC1-8551-4792-B3D8-1674033500F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27C31B8-7CB1-4425-B356-3FE13E68E810}">
          <x14:formula1>
            <xm:f>Dropdown!$A$2:$A$3</xm:f>
          </x14:formula1>
          <xm:sqref>C4</xm:sqref>
        </x14:dataValidation>
        <x14:dataValidation type="list" allowBlank="1" showInputMessage="1" showErrorMessage="1" xr:uid="{4D50B272-A408-4E75-A8AF-799897BDFBDC}">
          <x14:formula1>
            <xm:f>Dropdown!$E$2:$E$3</xm:f>
          </x14:formula1>
          <xm:sqref>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3C42-5BED-48B1-BD68-283327FFCED5}">
  <dimension ref="A1:Z29"/>
  <sheetViews>
    <sheetView showGridLines="0" showRowColHeaders="0"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5" ht="20.100000000000001" customHeight="1" x14ac:dyDescent="0.25"/>
    <row r="2" spans="2:15" ht="39.950000000000003" customHeight="1" x14ac:dyDescent="0.25"/>
    <row r="3" spans="2:15" ht="30" customHeight="1" x14ac:dyDescent="0.25">
      <c r="B3" s="102" t="str">
        <f ca="1">OFFSET(SPROG!$B$15,0,SPROG!$B$2)</f>
        <v>SKYLINE PLINTH</v>
      </c>
    </row>
    <row r="4" spans="2:15" ht="30" customHeight="1" x14ac:dyDescent="0.25">
      <c r="B4" s="67" t="str">
        <f ca="1">OFFSET(SPROG!$B$21,0,SPROG!$B$2)</f>
        <v>Calculation method</v>
      </c>
      <c r="C4" s="34" t="s">
        <v>250</v>
      </c>
      <c r="D4" s="103">
        <f>((C6+D6)/2)-E6</f>
        <v>50</v>
      </c>
      <c r="E4" s="103">
        <f>TRUNC((C6-D6)/LN((C6-E6)/(D6-E6)),2)</f>
        <v>49.83</v>
      </c>
      <c r="F4" s="175" t="str">
        <f>LEFT($C$4,1)</f>
        <v>A</v>
      </c>
    </row>
    <row r="5" spans="2:15"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30"/>
      <c r="O5" s="130"/>
    </row>
    <row r="6" spans="2:15" ht="20.100000000000001" customHeight="1" x14ac:dyDescent="0.25">
      <c r="B6" s="71" t="str">
        <f>IF($F$4="A","ΔT "&amp;D4,"ΔT "&amp;E4)</f>
        <v>ΔT 50</v>
      </c>
      <c r="C6" s="33">
        <v>75</v>
      </c>
      <c r="D6" s="33">
        <v>65</v>
      </c>
      <c r="E6" s="33">
        <v>20</v>
      </c>
      <c r="F6" s="111"/>
      <c r="G6" s="33">
        <v>1000</v>
      </c>
      <c r="I6" s="100"/>
      <c r="J6" s="100"/>
      <c r="K6" s="100"/>
      <c r="L6" s="100"/>
      <c r="M6" s="100"/>
      <c r="N6" s="130"/>
      <c r="O6" s="130"/>
    </row>
    <row r="7" spans="2:15" ht="9.9499999999999993" customHeight="1" x14ac:dyDescent="0.25">
      <c r="G7" s="100"/>
      <c r="I7" s="100"/>
      <c r="J7" s="100"/>
      <c r="K7" s="100"/>
      <c r="L7" s="100"/>
      <c r="M7" s="100"/>
    </row>
    <row r="8" spans="2:15"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row>
    <row r="9" spans="2:15" ht="20.100000000000001" customHeight="1" thickBot="1" x14ac:dyDescent="0.3">
      <c r="B9" s="75"/>
      <c r="C9" s="75"/>
      <c r="D9" s="76" t="s">
        <v>191</v>
      </c>
      <c r="E9" s="77">
        <v>59</v>
      </c>
      <c r="F9" s="77">
        <f>IF(AND($G$6&gt;=KONRAD_DATA!$D$3,$G$6&lt;=KONRAD_DATA!$D$4-IF(MID(D9,2,1)="F",KONRAD_DATA!$D$6,0)),$G$6,"")</f>
        <v>1000</v>
      </c>
      <c r="G9" s="78">
        <f>ROUND(('Data ALL'!E41*($G$6/1000)),0)</f>
        <v>262</v>
      </c>
      <c r="H9" s="151"/>
      <c r="I9" s="100"/>
      <c r="J9" s="100"/>
      <c r="K9" s="100"/>
      <c r="L9" s="100"/>
      <c r="M9" s="100"/>
    </row>
    <row r="10" spans="2:15" ht="20.100000000000001" customHeight="1" thickBot="1" x14ac:dyDescent="0.3">
      <c r="B10" s="79"/>
      <c r="C10" s="79"/>
      <c r="D10" s="76" t="s">
        <v>192</v>
      </c>
      <c r="E10" s="81">
        <f>E9+24</f>
        <v>83</v>
      </c>
      <c r="F10" s="81">
        <f>IF(AND($G$6&gt;=KONRAD_DATA!$D$3,$G$6&lt;=KONRAD_DATA!$D$4-IF(MID(D10,2,1)="F",KONRAD_DATA!$D$6,0)),$G$6,"")</f>
        <v>1000</v>
      </c>
      <c r="G10" s="78">
        <f>ROUND(('Data ALL'!E42*($G$6/1000)),0)</f>
        <v>349</v>
      </c>
      <c r="I10" s="100"/>
      <c r="J10" s="100"/>
      <c r="K10" s="100"/>
      <c r="L10" s="100"/>
      <c r="M10" s="100"/>
    </row>
    <row r="11" spans="2:15" ht="20.100000000000001" customHeight="1" thickBot="1" x14ac:dyDescent="0.3">
      <c r="B11" s="79"/>
      <c r="C11" s="79"/>
      <c r="D11" s="76" t="s">
        <v>193</v>
      </c>
      <c r="E11" s="81">
        <f t="shared" ref="E11:E20" si="0">E10+24</f>
        <v>107</v>
      </c>
      <c r="F11" s="81">
        <f>IF(AND($G$6&gt;=KONRAD_DATA!$D$3,$G$6&lt;=KONRAD_DATA!$D$4-IF(MID(D11,2,1)="F",KONRAD_DATA!$D$6,0)),$G$6,"")</f>
        <v>1000</v>
      </c>
      <c r="G11" s="78">
        <f>ROUND(('Data ALL'!E43*($G$6/1000)),0)</f>
        <v>430</v>
      </c>
      <c r="I11" s="100"/>
      <c r="J11" s="100"/>
      <c r="K11" s="100"/>
      <c r="L11" s="100"/>
      <c r="M11" s="100"/>
    </row>
    <row r="12" spans="2:15" ht="20.100000000000001" customHeight="1" thickBot="1" x14ac:dyDescent="0.3">
      <c r="B12" s="79"/>
      <c r="C12" s="79"/>
      <c r="D12" s="76" t="s">
        <v>194</v>
      </c>
      <c r="E12" s="81">
        <f t="shared" si="0"/>
        <v>131</v>
      </c>
      <c r="F12" s="81">
        <f>IF(AND($G$6&gt;=KONRAD_DATA!$D$3,$G$6&lt;=KONRAD_DATA!$D$4-IF(MID(D12,2,1)="F",KONRAD_DATA!$D$6,0)),$G$6,"")</f>
        <v>1000</v>
      </c>
      <c r="G12" s="78">
        <f>ROUND(('Data ALL'!E44*($G$6/1000)),0)</f>
        <v>509</v>
      </c>
      <c r="I12" s="100"/>
      <c r="J12" s="100"/>
      <c r="K12" s="100"/>
      <c r="L12" s="100"/>
      <c r="M12" s="100"/>
    </row>
    <row r="13" spans="2:15" ht="20.100000000000001" customHeight="1" thickBot="1" x14ac:dyDescent="0.3">
      <c r="B13" s="79"/>
      <c r="C13" s="79"/>
      <c r="D13" s="76" t="s">
        <v>195</v>
      </c>
      <c r="E13" s="81">
        <f t="shared" si="0"/>
        <v>155</v>
      </c>
      <c r="F13" s="81">
        <f>IF(AND($G$6&gt;=KONRAD_DATA!$D$3,$G$6&lt;=KONRAD_DATA!$D$4-IF(MID(D13,2,1)="F",KONRAD_DATA!$D$6,0)),$G$6,"")</f>
        <v>1000</v>
      </c>
      <c r="G13" s="78">
        <f>ROUND(('Data ALL'!E45*($G$6/1000)),0)</f>
        <v>585</v>
      </c>
      <c r="I13" s="100"/>
      <c r="J13" s="100"/>
      <c r="K13" s="100"/>
      <c r="L13" s="100"/>
      <c r="M13" s="100"/>
    </row>
    <row r="14" spans="2:15" ht="20.100000000000001" customHeight="1" thickBot="1" x14ac:dyDescent="0.3">
      <c r="B14" s="79"/>
      <c r="C14" s="79"/>
      <c r="D14" s="76" t="s">
        <v>196</v>
      </c>
      <c r="E14" s="81">
        <f t="shared" si="0"/>
        <v>179</v>
      </c>
      <c r="F14" s="81">
        <f>IF(AND($G$6&gt;=KONRAD_DATA!$D$3,$G$6&lt;=KONRAD_DATA!$D$4-IF(MID(D14,2,1)="F",KONRAD_DATA!$D$6,0)),$G$6,"")</f>
        <v>1000</v>
      </c>
      <c r="G14" s="78">
        <f>ROUND(('Data ALL'!E46*($G$6/1000)),0)</f>
        <v>659</v>
      </c>
      <c r="I14" s="100"/>
      <c r="J14" s="100"/>
      <c r="K14" s="100"/>
      <c r="L14" s="100"/>
      <c r="M14" s="100"/>
    </row>
    <row r="15" spans="2:15" ht="20.100000000000001" customHeight="1" thickBot="1" x14ac:dyDescent="0.3">
      <c r="B15" s="79"/>
      <c r="C15" s="79"/>
      <c r="D15" s="76" t="s">
        <v>197</v>
      </c>
      <c r="E15" s="81">
        <f t="shared" si="0"/>
        <v>203</v>
      </c>
      <c r="F15" s="81">
        <f>IF(AND($G$6&gt;=KONRAD_DATA!$D$3,$G$6&lt;=KONRAD_DATA!$D$4-IF(MID(D15,2,1)="F",KONRAD_DATA!$D$6,0)),$G$6,"")</f>
        <v>1000</v>
      </c>
      <c r="G15" s="78">
        <f>ROUND(('Data ALL'!E47*($G$6/1000)),0)</f>
        <v>731</v>
      </c>
      <c r="I15" s="100"/>
      <c r="J15" s="100"/>
      <c r="K15" s="100"/>
      <c r="L15" s="100"/>
      <c r="M15" s="100"/>
    </row>
    <row r="16" spans="2:15" ht="20.100000000000001" customHeight="1" thickBot="1" x14ac:dyDescent="0.3">
      <c r="B16" s="79"/>
      <c r="C16" s="79"/>
      <c r="D16" s="76" t="s">
        <v>198</v>
      </c>
      <c r="E16" s="81">
        <f t="shared" si="0"/>
        <v>227</v>
      </c>
      <c r="F16" s="81">
        <f>IF(AND($G$6&gt;=KONRAD_DATA!$D$3,$G$6&lt;=KONRAD_DATA!$D$4-IF(MID(D16,2,1)="F",KONRAD_DATA!$D$6,0)),$G$6,"")</f>
        <v>1000</v>
      </c>
      <c r="G16" s="78">
        <f>ROUND(('Data ALL'!E48*($G$6/1000)),0)</f>
        <v>801</v>
      </c>
      <c r="I16" s="100"/>
      <c r="J16" s="100"/>
      <c r="K16" s="100"/>
      <c r="L16" s="100"/>
      <c r="M16" s="100"/>
    </row>
    <row r="17" spans="1:26" ht="20.100000000000001" customHeight="1" thickBot="1" x14ac:dyDescent="0.3">
      <c r="B17" s="79"/>
      <c r="C17" s="79"/>
      <c r="D17" s="76" t="s">
        <v>199</v>
      </c>
      <c r="E17" s="81">
        <f t="shared" si="0"/>
        <v>251</v>
      </c>
      <c r="F17" s="81">
        <f>IF(AND($G$6&gt;=KONRAD_DATA!$D$3,$G$6&lt;=KONRAD_DATA!$D$4-IF(MID(D17,2,1)="F",KONRAD_DATA!$D$6,0)),$G$6,"")</f>
        <v>1000</v>
      </c>
      <c r="G17" s="78">
        <f>ROUND(('Data ALL'!E49*($G$6/1000)),0)</f>
        <v>870</v>
      </c>
      <c r="I17" s="100"/>
      <c r="J17" s="100"/>
      <c r="K17" s="100"/>
      <c r="L17" s="100"/>
      <c r="M17" s="100"/>
    </row>
    <row r="18" spans="1:26" ht="20.100000000000001" customHeight="1" thickBot="1" x14ac:dyDescent="0.3">
      <c r="B18" s="79"/>
      <c r="C18" s="79"/>
      <c r="D18" s="76" t="s">
        <v>200</v>
      </c>
      <c r="E18" s="81">
        <f t="shared" si="0"/>
        <v>275</v>
      </c>
      <c r="F18" s="81">
        <f>IF(AND($G$6&gt;=KONRAD_DATA!$D$3,$G$6&lt;=KONRAD_DATA!$D$4-IF(MID(D18,2,1)="F",KONRAD_DATA!$D$6,0)),$G$6,"")</f>
        <v>1000</v>
      </c>
      <c r="G18" s="78">
        <f>ROUND(('Data ALL'!E50*($G$6/1000)),0)</f>
        <v>937</v>
      </c>
      <c r="I18" s="100"/>
      <c r="J18" s="100"/>
      <c r="K18" s="100"/>
      <c r="L18" s="100"/>
      <c r="M18" s="100"/>
    </row>
    <row r="19" spans="1:26" ht="20.100000000000001" customHeight="1" thickBot="1" x14ac:dyDescent="0.3">
      <c r="B19" s="79"/>
      <c r="C19" s="79"/>
      <c r="D19" s="76" t="s">
        <v>201</v>
      </c>
      <c r="E19" s="81">
        <f t="shared" si="0"/>
        <v>299</v>
      </c>
      <c r="F19" s="81">
        <f>IF(AND($G$6&gt;=KONRAD_DATA!$D$3,$G$6&lt;=KONRAD_DATA!$D$4-IF(MID(D19,2,1)="F",KONRAD_DATA!$D$6,0)),$G$6,"")</f>
        <v>1000</v>
      </c>
      <c r="G19" s="78">
        <f>ROUND(('Data ALL'!E51*($G$6/1000)),0)</f>
        <v>1003</v>
      </c>
      <c r="I19" s="100"/>
      <c r="J19" s="100"/>
      <c r="K19" s="100"/>
      <c r="L19" s="100"/>
      <c r="M19" s="100"/>
    </row>
    <row r="20" spans="1:26" ht="20.100000000000001" customHeight="1" thickBot="1" x14ac:dyDescent="0.3">
      <c r="B20" s="79"/>
      <c r="C20" s="79"/>
      <c r="D20" s="76" t="s">
        <v>202</v>
      </c>
      <c r="E20" s="81">
        <f t="shared" si="0"/>
        <v>323</v>
      </c>
      <c r="F20" s="81">
        <f>IF(AND($G$6&gt;=KONRAD_DATA!$D$3,$G$6&lt;=KONRAD_DATA!$D$4-IF(MID(D20,2,1)="F",KONRAD_DATA!$D$6,0)),$G$6,"")</f>
        <v>1000</v>
      </c>
      <c r="G20" s="78">
        <f>ROUND(('Data ALL'!E52*($G$6/1000)),0)</f>
        <v>1068</v>
      </c>
      <c r="I20" s="100"/>
      <c r="J20" s="100"/>
      <c r="K20" s="100"/>
      <c r="L20" s="100"/>
      <c r="M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CEGETLKZQY2kn9CtK6471t/mUoGM+oHl2DY25KXgPztgFAEcq82n42EGjBCA8K48YvxkNSjI5mA6NByO2LBiew==" saltValue="ZDt10NpN1jgdrrqFJfka2A==" spinCount="100000" sheet="1" objects="1" scenarios="1" selectLockedCells="1"/>
  <mergeCells count="1">
    <mergeCell ref="B28:G28"/>
  </mergeCells>
  <phoneticPr fontId="2" type="noConversion"/>
  <conditionalFormatting sqref="C6:F6">
    <cfRule type="expression" dxfId="3" priority="1">
      <formula>$C$6&lt;$D$6+10</formula>
    </cfRule>
  </conditionalFormatting>
  <dataValidations count="1">
    <dataValidation type="whole" allowBlank="1" showInputMessage="1" showErrorMessage="1" errorTitle="Invalid value" error="Please select a value between 400 and 6000" sqref="G6" xr:uid="{5B5DF05A-8E1E-47C1-9C6C-483BC056A31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042A638-F846-41A2-8AB7-14D50679F8C2}">
          <x14:formula1>
            <xm:f>Dropdown!$A$2:$A$3</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FC88-9832-4666-A991-598F5CEEF886}">
  <dimension ref="A1:Z29"/>
  <sheetViews>
    <sheetView showGridLines="0" showRowColHeaders="0" tabSelected="1" workbookViewId="0">
      <selection activeCell="G6" sqref="G6"/>
    </sheetView>
  </sheetViews>
  <sheetFormatPr defaultRowHeight="21" customHeight="1" x14ac:dyDescent="0.25"/>
  <cols>
    <col min="1" max="1" width="10.7109375" style="100" customWidth="1"/>
    <col min="2" max="3" width="18.7109375" style="100" customWidth="1"/>
    <col min="4" max="6" width="19.28515625" style="100" customWidth="1"/>
    <col min="7" max="7" width="24.140625" style="67" customWidth="1"/>
    <col min="8" max="8" width="9.140625" style="147"/>
    <col min="9" max="9" width="9.140625" style="127"/>
    <col min="10" max="12" width="14.5703125" style="127" customWidth="1"/>
    <col min="13" max="13" width="14.5703125" style="130" customWidth="1"/>
    <col min="14" max="15" width="9.140625" style="127"/>
    <col min="16" max="19" width="9.140625" style="125"/>
    <col min="20" max="26" width="9.140625" style="147"/>
    <col min="27" max="16384" width="9.140625" style="100"/>
  </cols>
  <sheetData>
    <row r="1" spans="2:16" ht="20.100000000000001" customHeight="1" x14ac:dyDescent="0.25"/>
    <row r="2" spans="2:16" ht="39.950000000000003" customHeight="1" x14ac:dyDescent="0.25"/>
    <row r="3" spans="2:16" ht="30" customHeight="1" x14ac:dyDescent="0.25">
      <c r="B3" s="102" t="str">
        <f ca="1">OFFSET(SPROG!$B$16,0,SPROG!$B$2)</f>
        <v>L-LINE</v>
      </c>
    </row>
    <row r="4" spans="2:16" ht="30" customHeight="1" x14ac:dyDescent="0.25">
      <c r="B4" s="67" t="str">
        <f ca="1">OFFSET(SPROG!$B$21,0,SPROG!$B$2)</f>
        <v>Calculation method</v>
      </c>
      <c r="C4" s="34" t="s">
        <v>250</v>
      </c>
      <c r="D4" s="103">
        <f>((C6+D6)/2)-E6</f>
        <v>50</v>
      </c>
      <c r="E4" s="103">
        <f>TRUNC((C6-D6)/LN((C6-E6)/(D6-E6)),2)</f>
        <v>49.83</v>
      </c>
      <c r="F4" s="177" t="str">
        <f>LEFT($C$4,1)</f>
        <v>A</v>
      </c>
    </row>
    <row r="5" spans="2:16" ht="20.100000000000001" customHeight="1" x14ac:dyDescent="0.25">
      <c r="B5" s="68"/>
      <c r="C5" s="69" t="str">
        <f ca="1">OFFSET(SPROG!$B$28,0,SPROG!$B$2)</f>
        <v>Flow (C°)</v>
      </c>
      <c r="D5" s="69" t="str">
        <f ca="1">OFFSET(SPROG!$B$29,0,SPROG!$B$2)</f>
        <v>Return (C°)</v>
      </c>
      <c r="E5" s="69" t="str">
        <f ca="1">OFFSET(SPROG!$B$30,0,SPROG!$B$2)</f>
        <v>Room (C°)</v>
      </c>
      <c r="F5" s="69"/>
      <c r="G5" s="69" t="str">
        <f ca="1">OFFSET(SPROG!$B$32,0,SPROG!$B$2)</f>
        <v>Length - mm</v>
      </c>
      <c r="I5" s="100"/>
      <c r="J5" s="100"/>
      <c r="K5" s="100"/>
      <c r="L5" s="100"/>
      <c r="M5" s="100"/>
      <c r="N5" s="100"/>
      <c r="O5" s="100"/>
      <c r="P5" s="100"/>
    </row>
    <row r="6" spans="2:16" ht="20.100000000000001" customHeight="1" x14ac:dyDescent="0.25">
      <c r="B6" s="71" t="str">
        <f>IF($F$4="A","ΔT "&amp;D4,"ΔT "&amp;E4)</f>
        <v>ΔT 50</v>
      </c>
      <c r="C6" s="33">
        <v>75</v>
      </c>
      <c r="D6" s="33">
        <v>65</v>
      </c>
      <c r="E6" s="33">
        <v>20</v>
      </c>
      <c r="F6" s="111"/>
      <c r="G6" s="33">
        <v>1000</v>
      </c>
      <c r="I6" s="100"/>
      <c r="J6" s="100"/>
      <c r="K6" s="100"/>
      <c r="L6" s="100"/>
      <c r="M6" s="100"/>
      <c r="N6" s="100"/>
      <c r="O6" s="100"/>
      <c r="P6" s="100"/>
    </row>
    <row r="7" spans="2:16" ht="9.9499999999999993" customHeight="1" x14ac:dyDescent="0.25">
      <c r="G7" s="100"/>
      <c r="I7" s="100"/>
      <c r="J7" s="100"/>
      <c r="K7" s="100"/>
      <c r="L7" s="100"/>
      <c r="M7" s="100"/>
      <c r="N7" s="100"/>
      <c r="O7" s="100"/>
      <c r="P7" s="100"/>
    </row>
    <row r="8" spans="2:1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row>
    <row r="9" spans="2:16" ht="20.100000000000001" customHeight="1" thickBot="1" x14ac:dyDescent="0.3">
      <c r="B9" s="75"/>
      <c r="C9" s="75"/>
      <c r="D9" s="76" t="s">
        <v>227</v>
      </c>
      <c r="E9" s="77">
        <v>87</v>
      </c>
      <c r="F9" s="77">
        <f>IF(AND($G$6&gt;=KONRAD_DATA!$D$3,$G$6&lt;=KONRAD_DATA!$D$4-IF(MID(D9,2,1)="F",KONRAD_DATA!$D$6,0)),$G$6,"")</f>
        <v>1000</v>
      </c>
      <c r="G9" s="78">
        <f>ROUND(('Data ALL'!E57*(($G$6+(2*'Data ALL'!$G$56))/1000)),0)</f>
        <v>361</v>
      </c>
      <c r="H9" s="151"/>
      <c r="I9" s="100"/>
      <c r="J9" s="100"/>
      <c r="K9" s="100"/>
      <c r="L9" s="100"/>
      <c r="M9" s="100"/>
      <c r="N9" s="100"/>
      <c r="O9" s="100"/>
      <c r="P9" s="100"/>
    </row>
    <row r="10" spans="2:16" ht="20.100000000000001" customHeight="1" thickBot="1" x14ac:dyDescent="0.3">
      <c r="B10" s="79"/>
      <c r="C10" s="79"/>
      <c r="D10" s="76" t="s">
        <v>228</v>
      </c>
      <c r="E10" s="81">
        <f>E9+38</f>
        <v>125</v>
      </c>
      <c r="F10" s="81">
        <f>IF(AND($G$6&gt;=KONRAD_DATA!$D$3,$G$6&lt;=KONRAD_DATA!$D$4-IF(MID(D10,2,1)="F",KONRAD_DATA!$D$6,0)),$G$6,"")</f>
        <v>1000</v>
      </c>
      <c r="G10" s="78">
        <f>ROUND(('Data ALL'!E58*(($G$6+(2*'Data ALL'!$G$56))/1000)),0)</f>
        <v>479</v>
      </c>
      <c r="I10" s="100"/>
      <c r="J10" s="100"/>
      <c r="K10" s="100"/>
      <c r="L10" s="100"/>
      <c r="M10" s="100"/>
      <c r="N10" s="100"/>
      <c r="O10" s="100"/>
      <c r="P10" s="100"/>
    </row>
    <row r="11" spans="2:16" ht="20.100000000000001" customHeight="1" thickBot="1" x14ac:dyDescent="0.3">
      <c r="B11" s="79"/>
      <c r="C11" s="79"/>
      <c r="D11" s="76" t="s">
        <v>229</v>
      </c>
      <c r="E11" s="81">
        <f t="shared" ref="E11:E20" si="0">E10+38</f>
        <v>163</v>
      </c>
      <c r="F11" s="81">
        <f>IF(AND($G$6&gt;=KONRAD_DATA!$D$3,$G$6&lt;=KONRAD_DATA!$D$4-IF(MID(D11,2,1)="F",KONRAD_DATA!$D$6,0)),$G$6,"")</f>
        <v>1000</v>
      </c>
      <c r="G11" s="78">
        <f>ROUND(('Data ALL'!E59*(($G$6+(2*'Data ALL'!$G$56))/1000)),0)</f>
        <v>594</v>
      </c>
      <c r="I11" s="100"/>
      <c r="J11" s="100"/>
      <c r="K11" s="100"/>
      <c r="L11" s="100"/>
      <c r="M11" s="100"/>
      <c r="N11" s="100"/>
      <c r="O11" s="100"/>
      <c r="P11" s="100"/>
    </row>
    <row r="12" spans="2:16" ht="20.100000000000001" customHeight="1" thickBot="1" x14ac:dyDescent="0.3">
      <c r="B12" s="79"/>
      <c r="C12" s="79"/>
      <c r="D12" s="76" t="s">
        <v>230</v>
      </c>
      <c r="E12" s="81">
        <f t="shared" si="0"/>
        <v>201</v>
      </c>
      <c r="F12" s="81">
        <f>IF(AND($G$6&gt;=KONRAD_DATA!$D$3,$G$6&lt;=KONRAD_DATA!$D$4-IF(MID(D12,2,1)="F",KONRAD_DATA!$D$6,0)),$G$6,"")</f>
        <v>1000</v>
      </c>
      <c r="G12" s="78">
        <f>ROUND(('Data ALL'!E60*(($G$6+(2*'Data ALL'!$G$56))/1000)),0)</f>
        <v>703</v>
      </c>
      <c r="I12" s="100"/>
      <c r="J12" s="100"/>
      <c r="K12" s="100"/>
      <c r="L12" s="100"/>
      <c r="M12" s="100"/>
      <c r="N12" s="100"/>
      <c r="O12" s="100"/>
      <c r="P12" s="100"/>
    </row>
    <row r="13" spans="2:16" ht="20.100000000000001" customHeight="1" thickBot="1" x14ac:dyDescent="0.3">
      <c r="B13" s="79"/>
      <c r="C13" s="79"/>
      <c r="D13" s="76" t="s">
        <v>231</v>
      </c>
      <c r="E13" s="81">
        <f t="shared" si="0"/>
        <v>239</v>
      </c>
      <c r="F13" s="81">
        <f>IF(AND($G$6&gt;=KONRAD_DATA!$D$3,$G$6&lt;=KONRAD_DATA!$D$4-IF(MID(D13,2,1)="F",KONRAD_DATA!$D$6,0)),$G$6,"")</f>
        <v>1000</v>
      </c>
      <c r="G13" s="78">
        <f>ROUND(('Data ALL'!E61*(($G$6+(2*'Data ALL'!$G$56))/1000)),0)</f>
        <v>812</v>
      </c>
      <c r="I13" s="100"/>
      <c r="J13" s="100"/>
      <c r="K13" s="100"/>
      <c r="L13" s="100"/>
      <c r="M13" s="100"/>
      <c r="N13" s="100"/>
      <c r="O13" s="100"/>
      <c r="P13" s="100"/>
    </row>
    <row r="14" spans="2:16" ht="20.100000000000001" customHeight="1" thickBot="1" x14ac:dyDescent="0.3">
      <c r="B14" s="79"/>
      <c r="C14" s="79"/>
      <c r="D14" s="76" t="s">
        <v>232</v>
      </c>
      <c r="E14" s="81">
        <f t="shared" si="0"/>
        <v>277</v>
      </c>
      <c r="F14" s="81">
        <f>IF(AND($G$6&gt;=KONRAD_DATA!$D$3,$G$6&lt;=KONRAD_DATA!$D$4-IF(MID(D14,2,1)="F",KONRAD_DATA!$D$6,0)),$G$6,"")</f>
        <v>1000</v>
      </c>
      <c r="G14" s="78">
        <f>ROUND(('Data ALL'!E62*(($G$6+(2*'Data ALL'!$G$56))/1000)),0)</f>
        <v>921</v>
      </c>
      <c r="I14" s="100"/>
      <c r="J14" s="100"/>
      <c r="K14" s="100"/>
      <c r="L14" s="100"/>
      <c r="M14" s="100"/>
      <c r="N14" s="100"/>
      <c r="O14" s="100"/>
      <c r="P14" s="100"/>
    </row>
    <row r="15" spans="2:16" ht="20.100000000000001" customHeight="1" thickBot="1" x14ac:dyDescent="0.3">
      <c r="B15" s="79"/>
      <c r="C15" s="79"/>
      <c r="D15" s="76" t="s">
        <v>233</v>
      </c>
      <c r="E15" s="81">
        <f t="shared" si="0"/>
        <v>315</v>
      </c>
      <c r="F15" s="81">
        <f>IF(AND($G$6&gt;=KONRAD_DATA!$D$3,$G$6&lt;=KONRAD_DATA!$D$4-IF(MID(D15,2,1)="F",KONRAD_DATA!$D$6,0)),$G$6,"")</f>
        <v>1000</v>
      </c>
      <c r="G15" s="78">
        <f>ROUND(('Data ALL'!E63*(($G$6+(2*'Data ALL'!$G$56))/1000)),0)</f>
        <v>1029</v>
      </c>
      <c r="I15" s="100"/>
      <c r="J15" s="100"/>
      <c r="K15" s="100"/>
      <c r="L15" s="100"/>
      <c r="M15" s="100"/>
      <c r="N15" s="100"/>
      <c r="O15" s="100"/>
      <c r="P15" s="100"/>
    </row>
    <row r="16" spans="2:16" ht="20.100000000000001" customHeight="1" thickBot="1" x14ac:dyDescent="0.3">
      <c r="B16" s="79"/>
      <c r="C16" s="79"/>
      <c r="D16" s="76" t="s">
        <v>234</v>
      </c>
      <c r="E16" s="81">
        <f t="shared" si="0"/>
        <v>353</v>
      </c>
      <c r="F16" s="81">
        <f>IF(AND($G$6&gt;=KONRAD_DATA!$D$3,$G$6&lt;=KONRAD_DATA!$D$4-IF(MID(D16,2,1)="F",KONRAD_DATA!$D$6,0)),$G$6,"")</f>
        <v>1000</v>
      </c>
      <c r="G16" s="78">
        <f>ROUND(('Data ALL'!E64*(($G$6+(2*'Data ALL'!$G$56))/1000)),0)</f>
        <v>1137</v>
      </c>
      <c r="I16" s="100"/>
      <c r="J16" s="100"/>
      <c r="K16" s="100"/>
      <c r="L16" s="100"/>
      <c r="M16" s="100"/>
      <c r="N16" s="100"/>
      <c r="O16" s="100"/>
      <c r="P16" s="100"/>
    </row>
    <row r="17" spans="1:26" ht="20.100000000000001" customHeight="1" thickBot="1" x14ac:dyDescent="0.3">
      <c r="B17" s="79"/>
      <c r="C17" s="79"/>
      <c r="D17" s="76" t="s">
        <v>235</v>
      </c>
      <c r="E17" s="81">
        <f t="shared" si="0"/>
        <v>391</v>
      </c>
      <c r="F17" s="81">
        <f>IF(AND($G$6&gt;=KONRAD_DATA!$D$3,$G$6&lt;=KONRAD_DATA!$D$4-IF(MID(D17,2,1)="F",KONRAD_DATA!$D$6,0)),$G$6,"")</f>
        <v>1000</v>
      </c>
      <c r="G17" s="78">
        <f>ROUND(('Data ALL'!E65*(($G$6+(2*'Data ALL'!$G$56))/1000)),0)</f>
        <v>1246</v>
      </c>
      <c r="I17" s="100"/>
      <c r="J17" s="100"/>
      <c r="K17" s="100"/>
      <c r="L17" s="100"/>
      <c r="M17" s="100"/>
      <c r="N17" s="100"/>
      <c r="O17" s="100"/>
      <c r="P17" s="100"/>
    </row>
    <row r="18" spans="1:26" ht="20.100000000000001" customHeight="1" thickBot="1" x14ac:dyDescent="0.3">
      <c r="B18" s="79"/>
      <c r="C18" s="79"/>
      <c r="D18" s="76" t="s">
        <v>236</v>
      </c>
      <c r="E18" s="81">
        <f t="shared" si="0"/>
        <v>429</v>
      </c>
      <c r="F18" s="81">
        <f>IF(AND($G$6&gt;=KONRAD_DATA!$D$3,$G$6&lt;=KONRAD_DATA!$D$4-IF(MID(D18,2,1)="F",KONRAD_DATA!$D$6,0)),$G$6,"")</f>
        <v>1000</v>
      </c>
      <c r="G18" s="78">
        <f>ROUND(('Data ALL'!E66*(($G$6+(2*'Data ALL'!$G$56))/1000)),0)</f>
        <v>1357</v>
      </c>
      <c r="I18" s="100"/>
      <c r="J18" s="100"/>
      <c r="K18" s="100"/>
      <c r="L18" s="100"/>
      <c r="M18" s="100"/>
      <c r="N18" s="100"/>
      <c r="O18" s="100"/>
      <c r="P18" s="100"/>
    </row>
    <row r="19" spans="1:26" ht="20.100000000000001" customHeight="1" thickBot="1" x14ac:dyDescent="0.3">
      <c r="B19" s="79"/>
      <c r="C19" s="79"/>
      <c r="D19" s="76" t="s">
        <v>237</v>
      </c>
      <c r="E19" s="81">
        <f t="shared" si="0"/>
        <v>467</v>
      </c>
      <c r="F19" s="81">
        <f>IF(AND($G$6&gt;=KONRAD_DATA!$D$3,$G$6&lt;=KONRAD_DATA!$D$4-IF(MID(D19,2,1)="F",KONRAD_DATA!$D$6,0)),$G$6,"")</f>
        <v>1000</v>
      </c>
      <c r="G19" s="78">
        <f>ROUND(('Data ALL'!E67*(($G$6+(2*'Data ALL'!$G$56))/1000)),0)</f>
        <v>1469</v>
      </c>
      <c r="I19" s="100"/>
      <c r="J19" s="100"/>
      <c r="K19" s="100"/>
      <c r="L19" s="100"/>
      <c r="M19" s="100"/>
      <c r="N19" s="100"/>
      <c r="O19" s="100"/>
      <c r="P19" s="100"/>
    </row>
    <row r="20" spans="1:26" ht="20.100000000000001" customHeight="1" thickBot="1" x14ac:dyDescent="0.3">
      <c r="B20" s="79"/>
      <c r="C20" s="79"/>
      <c r="D20" s="76" t="s">
        <v>238</v>
      </c>
      <c r="E20" s="81">
        <f t="shared" si="0"/>
        <v>505</v>
      </c>
      <c r="F20" s="81">
        <f>IF(AND($G$6&gt;=KONRAD_DATA!$D$3,$G$6&lt;=KONRAD_DATA!$D$4-IF(MID(D20,2,1)="F",KONRAD_DATA!$D$6,0)),$G$6,"")</f>
        <v>1000</v>
      </c>
      <c r="G20" s="78">
        <f>ROUND(('Data ALL'!E68*(($G$6+(2*'Data ALL'!$G$56))/1000)),0)</f>
        <v>1581</v>
      </c>
      <c r="I20" s="100"/>
      <c r="J20" s="100"/>
      <c r="K20" s="100"/>
      <c r="L20" s="100"/>
      <c r="M20" s="100"/>
      <c r="N20" s="100"/>
      <c r="O20" s="100"/>
      <c r="P20" s="100"/>
    </row>
    <row r="21" spans="1:26" s="63" customFormat="1" ht="20.100000000000001" customHeight="1" x14ac:dyDescent="0.25">
      <c r="E21" s="67"/>
      <c r="F21" s="67"/>
      <c r="H21" s="117"/>
      <c r="I21" s="143"/>
      <c r="J21" s="130"/>
      <c r="K21" s="143"/>
      <c r="L21" s="143"/>
      <c r="M21" s="143"/>
      <c r="N21" s="143"/>
      <c r="O21" s="143"/>
      <c r="P21" s="116"/>
      <c r="Q21" s="116"/>
      <c r="R21" s="116"/>
      <c r="S21" s="116"/>
      <c r="T21" s="117"/>
      <c r="U21" s="117"/>
      <c r="V21" s="117"/>
      <c r="W21" s="117"/>
      <c r="X21" s="117"/>
      <c r="Y21" s="117"/>
      <c r="Z21" s="117"/>
    </row>
    <row r="22" spans="1:26" s="63" customFormat="1" ht="20.100000000000001" customHeight="1" thickBot="1" x14ac:dyDescent="0.3">
      <c r="B22" s="93"/>
      <c r="C22" s="93"/>
      <c r="D22" s="46" t="str">
        <f ca="1">OFFSET(SPROG!$B$41,0,SPROG!$B$2)</f>
        <v>Water carrying tube</v>
      </c>
      <c r="E22" s="46"/>
      <c r="F22" s="46"/>
      <c r="G22" s="46"/>
      <c r="H22" s="117"/>
      <c r="I22" s="143"/>
      <c r="J22" s="130"/>
      <c r="K22" s="143"/>
      <c r="L22" s="143"/>
      <c r="M22" s="143"/>
      <c r="N22" s="143"/>
      <c r="O22" s="143"/>
      <c r="P22" s="116"/>
      <c r="Q22" s="116"/>
      <c r="R22" s="116"/>
      <c r="S22" s="116"/>
      <c r="T22" s="117"/>
      <c r="U22" s="117"/>
      <c r="V22" s="117"/>
      <c r="W22" s="117"/>
      <c r="X22" s="117"/>
      <c r="Y22" s="117"/>
      <c r="Z22" s="117"/>
    </row>
    <row r="23" spans="1:26" ht="20.100000000000001" customHeight="1" x14ac:dyDescent="0.25">
      <c r="A23" s="63"/>
      <c r="B23" s="95"/>
      <c r="C23" s="95"/>
      <c r="D23" s="48" t="str">
        <f ca="1">OFFSET(SPROG!$B$46,0,SPROG!$B$2)</f>
        <v>Wall</v>
      </c>
      <c r="E23" s="48"/>
      <c r="F23" s="48"/>
      <c r="G23" s="48"/>
      <c r="L23" s="152"/>
      <c r="M23" s="150"/>
    </row>
    <row r="24" spans="1:26" ht="20.100000000000001" customHeight="1" x14ac:dyDescent="0.25">
      <c r="B24" s="67"/>
      <c r="C24" s="90"/>
    </row>
    <row r="25" spans="1:26" ht="20.100000000000001" customHeight="1" x14ac:dyDescent="0.25">
      <c r="B25" s="97" t="str">
        <f ca="1">OFFSET(SPROG!$B$60,0,SPROG!$B$2)</f>
        <v>Min length: 400 mm. Max. Length 6000 mm. 
Please contact MEINERTZ for special sizes and special options.</v>
      </c>
      <c r="C25" s="90"/>
      <c r="G25" s="63"/>
    </row>
    <row r="26" spans="1:26" s="97" customFormat="1" ht="20.100000000000001" customHeight="1" x14ac:dyDescent="0.25">
      <c r="B26" s="97" t="str">
        <f ca="1">OFFSET(SPROG!$B$47,0,SPROG!$B$2)</f>
        <v>Nominal output</v>
      </c>
      <c r="C26" s="97" t="s">
        <v>20</v>
      </c>
      <c r="H26" s="155"/>
      <c r="I26" s="146"/>
      <c r="J26" s="146"/>
      <c r="K26" s="146"/>
      <c r="L26" s="146"/>
      <c r="M26" s="156"/>
      <c r="N26" s="146"/>
      <c r="O26" s="146"/>
      <c r="P26" s="144"/>
      <c r="Q26" s="144"/>
      <c r="R26" s="144"/>
      <c r="S26" s="144"/>
      <c r="T26" s="155"/>
      <c r="U26" s="155"/>
      <c r="V26" s="155"/>
      <c r="W26" s="155"/>
      <c r="X26" s="155"/>
      <c r="Y26" s="155"/>
      <c r="Z26" s="155"/>
    </row>
    <row r="27" spans="1:26" s="97" customFormat="1" ht="20.100000000000001" customHeight="1" x14ac:dyDescent="0.25">
      <c r="B27" s="97" t="str">
        <f ca="1">OFFSET(SPROG!$B$48,0,SPROG!$B$2)</f>
        <v>Conversion factor</v>
      </c>
      <c r="C27" s="98" t="s">
        <v>263</v>
      </c>
      <c r="D27" s="109"/>
      <c r="H27" s="155"/>
      <c r="I27" s="146"/>
      <c r="J27" s="146"/>
      <c r="K27" s="146"/>
      <c r="L27" s="146"/>
      <c r="M27" s="146"/>
      <c r="N27" s="146"/>
      <c r="O27" s="146"/>
      <c r="P27" s="144"/>
      <c r="Q27" s="144"/>
      <c r="R27" s="144"/>
      <c r="S27" s="144"/>
      <c r="T27" s="155"/>
      <c r="U27" s="155"/>
      <c r="V27" s="155"/>
      <c r="W27" s="155"/>
      <c r="X27" s="155"/>
      <c r="Y27" s="155"/>
      <c r="Z27" s="155"/>
    </row>
    <row r="28" spans="1:26"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55"/>
      <c r="I28" s="146"/>
      <c r="J28" s="146"/>
      <c r="K28" s="146"/>
      <c r="L28" s="146"/>
      <c r="M28" s="156"/>
      <c r="N28" s="146"/>
      <c r="O28" s="146"/>
      <c r="P28" s="144"/>
      <c r="Q28" s="144"/>
      <c r="R28" s="144"/>
      <c r="S28" s="144"/>
      <c r="T28" s="155"/>
      <c r="U28" s="155"/>
      <c r="V28" s="155"/>
      <c r="W28" s="155"/>
      <c r="X28" s="155"/>
      <c r="Y28" s="155"/>
      <c r="Z28" s="155"/>
    </row>
    <row r="29" spans="1:26" ht="21" customHeight="1" x14ac:dyDescent="0.25">
      <c r="B29" s="110"/>
    </row>
  </sheetData>
  <sheetProtection algorithmName="SHA-512" hashValue="pQvRcw3j2XP3QIahuxLulki0zIxYhVKQJ5KP+57MqDdPmhQZMHkhqU704fkPgGD3tYcWpTCUNg2wYWTiz6suZA==" saltValue="96ImPctX7zIVsOyCK8FkIw==" spinCount="100000" sheet="1" objects="1" scenarios="1" selectLockedCells="1"/>
  <mergeCells count="1">
    <mergeCell ref="B28:G28"/>
  </mergeCells>
  <phoneticPr fontId="2" type="noConversion"/>
  <conditionalFormatting sqref="C6:F6">
    <cfRule type="expression" dxfId="2" priority="1">
      <formula>$C$6&lt;$D$6+10</formula>
    </cfRule>
  </conditionalFormatting>
  <dataValidations count="1">
    <dataValidation type="whole" allowBlank="1" showInputMessage="1" showErrorMessage="1" errorTitle="Invalid value" error="Please select a value between 400 and 6000" sqref="G6" xr:uid="{41B39CFF-1EF8-47EF-B8CF-30267E7F8A01}">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D75F4-E8EE-4433-970A-C8CCDFE90E87}">
          <x14:formula1>
            <xm:f>Dropdown!$A$2:$A$3</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F2D2-D443-4537-BA66-1F2522769C56}">
  <dimension ref="A1:AD29"/>
  <sheetViews>
    <sheetView showGridLines="0" showRowColHeaders="0" workbookViewId="0">
      <selection activeCell="C4" sqref="C4"/>
    </sheetView>
  </sheetViews>
  <sheetFormatPr defaultRowHeight="21" customHeight="1" x14ac:dyDescent="0.25"/>
  <cols>
    <col min="1" max="1" width="10.7109375" style="100" customWidth="1"/>
    <col min="2" max="3" width="18.7109375" style="100" customWidth="1"/>
    <col min="4" max="5" width="19.28515625" style="100" customWidth="1"/>
    <col min="6" max="6" width="26.28515625" style="100" customWidth="1"/>
    <col min="7" max="7" width="24.140625" style="67" customWidth="1"/>
    <col min="8" max="9" width="9.140625" style="125"/>
    <col min="10" max="13" width="14.5703125" style="125" customWidth="1"/>
    <col min="14" max="14" width="14.5703125" style="126" customWidth="1"/>
    <col min="15" max="15" width="18.85546875" style="125" customWidth="1"/>
    <col min="16" max="19" width="9.140625" style="125" customWidth="1"/>
    <col min="20" max="27" width="9.140625" style="127"/>
    <col min="28" max="30" width="9.140625" style="101"/>
    <col min="31" max="16384" width="9.140625" style="100"/>
  </cols>
  <sheetData>
    <row r="1" spans="2:23" ht="20.100000000000001" customHeight="1" x14ac:dyDescent="0.25"/>
    <row r="2" spans="2:23" ht="39.950000000000003" customHeight="1" x14ac:dyDescent="0.25"/>
    <row r="3" spans="2:23" ht="30" customHeight="1" x14ac:dyDescent="0.25">
      <c r="B3" s="102" t="str">
        <f ca="1">OFFSET(SPROG!$B$12,0,SPROG!$B$2)</f>
        <v>PROLINE</v>
      </c>
    </row>
    <row r="4" spans="2:23" ht="30" customHeight="1" x14ac:dyDescent="0.25">
      <c r="B4" s="67" t="str">
        <f ca="1">OFFSET(SPROG!$B$21,0,SPROG!$B$2)</f>
        <v>Calculation method</v>
      </c>
      <c r="C4" s="34" t="s">
        <v>255</v>
      </c>
      <c r="D4" s="103">
        <f>((C6+D6)/2)-E6</f>
        <v>50</v>
      </c>
      <c r="E4" s="103">
        <f>TRUNC((C6-D6)/LN((C6-E6)/(D6-E6)),2)</f>
        <v>49.83</v>
      </c>
      <c r="F4" s="103" t="str">
        <f>LEFT($C$4,1)</f>
        <v>L</v>
      </c>
      <c r="I4" s="100"/>
      <c r="J4" s="100"/>
      <c r="K4" s="100"/>
      <c r="L4" s="100"/>
      <c r="M4" s="100"/>
      <c r="N4" s="100"/>
      <c r="O4" s="100"/>
      <c r="P4" s="100"/>
      <c r="Q4" s="100"/>
      <c r="R4" s="100"/>
      <c r="S4" s="100"/>
      <c r="T4" s="100"/>
      <c r="U4" s="100"/>
      <c r="V4" s="100"/>
      <c r="W4" s="100"/>
    </row>
    <row r="5" spans="2:23" ht="20.100000000000001" customHeight="1" x14ac:dyDescent="0.25">
      <c r="B5" s="68"/>
      <c r="C5" s="69" t="str">
        <f ca="1">OFFSET(SPROG!$B$28,0,SPROG!$B$2)</f>
        <v>Flow (C°)</v>
      </c>
      <c r="D5" s="69" t="str">
        <f ca="1">OFFSET(SPROG!$B$29,0,SPROG!$B$2)</f>
        <v>Return (C°)</v>
      </c>
      <c r="E5" s="69" t="str">
        <f ca="1">OFFSET(SPROG!$B$30,0,SPROG!$B$2)</f>
        <v>Room (C°)</v>
      </c>
      <c r="F5" s="69" t="str">
        <f ca="1">OFFSET(SPROG!$B$35,0,SPROG!$B$2)</f>
        <v>Trench / Steel trench depth</v>
      </c>
      <c r="G5" s="69" t="str">
        <f ca="1">OFFSET(SPROG!$B$32,0,SPROG!$B$2)</f>
        <v>Length - mm</v>
      </c>
      <c r="I5" s="100"/>
      <c r="J5" s="100"/>
      <c r="K5" s="100"/>
      <c r="L5" s="100"/>
      <c r="M5" s="100"/>
      <c r="N5" s="100"/>
      <c r="O5" s="100"/>
      <c r="P5" s="100"/>
      <c r="Q5" s="100"/>
      <c r="R5" s="100"/>
      <c r="S5" s="100"/>
      <c r="T5" s="100"/>
      <c r="U5" s="100"/>
      <c r="V5" s="100"/>
      <c r="W5" s="100"/>
    </row>
    <row r="6" spans="2:23" ht="20.100000000000001" customHeight="1" x14ac:dyDescent="0.25">
      <c r="B6" s="71" t="str">
        <f>IF($F$4="A","ΔT "&amp;D4,"ΔT "&amp;E4)</f>
        <v>ΔT 49,83</v>
      </c>
      <c r="C6" s="33">
        <v>75</v>
      </c>
      <c r="D6" s="33">
        <v>65</v>
      </c>
      <c r="E6" s="33">
        <v>20</v>
      </c>
      <c r="F6" s="33">
        <v>100</v>
      </c>
      <c r="G6" s="33">
        <v>1000</v>
      </c>
      <c r="I6" s="100"/>
      <c r="J6" s="100"/>
      <c r="K6" s="100"/>
      <c r="L6" s="100"/>
      <c r="M6" s="100"/>
      <c r="N6" s="100"/>
      <c r="O6" s="100"/>
      <c r="P6" s="100"/>
      <c r="Q6" s="100"/>
      <c r="R6" s="100"/>
      <c r="S6" s="100"/>
      <c r="T6" s="100"/>
      <c r="U6" s="100"/>
      <c r="V6" s="100"/>
      <c r="W6" s="100"/>
    </row>
    <row r="7" spans="2:23" ht="9.9499999999999993" customHeight="1" x14ac:dyDescent="0.25">
      <c r="B7" s="104"/>
      <c r="G7" s="100"/>
      <c r="I7" s="100"/>
      <c r="J7" s="100"/>
      <c r="K7" s="100"/>
      <c r="L7" s="100"/>
      <c r="M7" s="100"/>
      <c r="N7" s="100"/>
      <c r="O7" s="100"/>
      <c r="P7" s="100"/>
      <c r="Q7" s="100"/>
      <c r="R7" s="100"/>
      <c r="S7" s="100"/>
      <c r="T7" s="100"/>
      <c r="U7" s="100"/>
      <c r="V7" s="100"/>
      <c r="W7" s="100"/>
    </row>
    <row r="8" spans="2:23"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c r="I8" s="100"/>
      <c r="J8" s="100"/>
      <c r="K8" s="100"/>
      <c r="L8" s="100"/>
      <c r="M8" s="100"/>
      <c r="N8" s="100"/>
      <c r="O8" s="100"/>
      <c r="P8" s="100"/>
      <c r="Q8" s="100"/>
      <c r="R8" s="100"/>
      <c r="S8" s="100"/>
      <c r="T8" s="100"/>
      <c r="U8" s="100"/>
      <c r="V8" s="100"/>
      <c r="W8" s="100"/>
    </row>
    <row r="9" spans="2:23" ht="20.100000000000001" customHeight="1" thickBot="1" x14ac:dyDescent="0.3">
      <c r="B9" s="75"/>
      <c r="C9" s="75"/>
      <c r="D9" s="76" t="s">
        <v>273</v>
      </c>
      <c r="E9" s="77">
        <v>179</v>
      </c>
      <c r="F9" s="77">
        <f>IF(AND($G$6&gt;=KONRAD_DATA!$D$3,$G$6&lt;=KONRAD_DATA!$D$4-IF(MID(D9,2,1)="F",KONRAD_DATA!$D$6,0)),$G$6,"")</f>
        <v>1000</v>
      </c>
      <c r="G9" s="78">
        <f>ROUND((('Data ALL'!G74*($G$6/1000)))*(1+'Data ALL'!$O$80),0)</f>
        <v>219</v>
      </c>
      <c r="I9" s="100"/>
      <c r="J9" s="100"/>
      <c r="K9" s="100"/>
      <c r="L9" s="100"/>
      <c r="M9" s="100"/>
      <c r="N9" s="100"/>
      <c r="O9" s="100"/>
      <c r="P9" s="100"/>
      <c r="Q9" s="100"/>
      <c r="R9" s="100"/>
      <c r="S9" s="100"/>
      <c r="T9" s="100"/>
      <c r="U9" s="100"/>
      <c r="V9" s="100"/>
      <c r="W9" s="100"/>
    </row>
    <row r="10" spans="2:23" ht="20.100000000000001" customHeight="1" thickBot="1" x14ac:dyDescent="0.3">
      <c r="B10" s="79"/>
      <c r="C10" s="79"/>
      <c r="D10" s="76" t="s">
        <v>274</v>
      </c>
      <c r="E10" s="81">
        <f>E9+24</f>
        <v>203</v>
      </c>
      <c r="F10" s="81">
        <f>IF(AND($G$6&gt;=KONRAD_DATA!$D$3,$G$6&lt;=KONRAD_DATA!$D$4-IF(MID(D10,2,1)="F",KONRAD_DATA!$D$6,0)),$G$6,"")</f>
        <v>1000</v>
      </c>
      <c r="G10" s="78">
        <f>ROUND((('Data ALL'!G75*($G$6/1000)))*(1+'Data ALL'!$O$80),0)</f>
        <v>278</v>
      </c>
      <c r="I10" s="100"/>
      <c r="J10" s="100"/>
      <c r="K10" s="100"/>
      <c r="L10" s="100"/>
      <c r="M10" s="100"/>
      <c r="N10" s="100"/>
      <c r="O10" s="100"/>
      <c r="P10" s="100"/>
      <c r="Q10" s="100"/>
      <c r="R10" s="100"/>
      <c r="S10" s="100"/>
      <c r="T10" s="100"/>
      <c r="U10" s="100"/>
      <c r="V10" s="100"/>
      <c r="W10" s="100"/>
    </row>
    <row r="11" spans="2:23" ht="20.100000000000001" customHeight="1" thickBot="1" x14ac:dyDescent="0.3">
      <c r="B11" s="79"/>
      <c r="C11" s="79"/>
      <c r="D11" s="76" t="s">
        <v>275</v>
      </c>
      <c r="E11" s="81">
        <f>E10+24</f>
        <v>227</v>
      </c>
      <c r="F11" s="81">
        <f>IF(AND($G$6&gt;=KONRAD_DATA!$D$3,$G$6&lt;=KONRAD_DATA!$D$4-IF(MID(D11,2,1)="F",KONRAD_DATA!$D$6,0)),$G$6,"")</f>
        <v>1000</v>
      </c>
      <c r="G11" s="78">
        <f>ROUND((('Data ALL'!G76*($G$6/1000)))*(1+'Data ALL'!$O$80),0)</f>
        <v>330</v>
      </c>
      <c r="I11" s="100"/>
      <c r="J11" s="100"/>
      <c r="K11" s="100"/>
      <c r="L11" s="100"/>
      <c r="M11" s="100"/>
      <c r="N11" s="100"/>
      <c r="O11" s="100"/>
      <c r="P11" s="100"/>
      <c r="Q11" s="100"/>
      <c r="R11" s="100"/>
      <c r="S11" s="100"/>
      <c r="T11" s="100"/>
      <c r="U11" s="100"/>
      <c r="V11" s="100"/>
      <c r="W11" s="100"/>
    </row>
    <row r="12" spans="2:23" ht="20.100000000000001" customHeight="1" thickBot="1" x14ac:dyDescent="0.3">
      <c r="B12" s="79"/>
      <c r="C12" s="79"/>
      <c r="D12" s="76" t="s">
        <v>276</v>
      </c>
      <c r="E12" s="81">
        <f t="shared" ref="E12:E20" si="0">E11+48</f>
        <v>275</v>
      </c>
      <c r="F12" s="81">
        <f>IF(AND($G$6&gt;=KONRAD_DATA!$D$3,$G$6&lt;=KONRAD_DATA!$D$4-IF(MID(D12,2,1)="F",KONRAD_DATA!$D$6,0)),$G$6,"")</f>
        <v>1000</v>
      </c>
      <c r="G12" s="78">
        <f>ROUND((('Data ALL'!G77*($G$6/1000)))*(1+'Data ALL'!$O$80),0)</f>
        <v>375</v>
      </c>
      <c r="I12" s="100"/>
      <c r="J12" s="100"/>
      <c r="K12" s="100"/>
      <c r="L12" s="100"/>
      <c r="M12" s="100"/>
      <c r="N12" s="100"/>
      <c r="O12" s="100"/>
      <c r="P12" s="100"/>
      <c r="Q12" s="100"/>
      <c r="R12" s="100"/>
      <c r="S12" s="100"/>
      <c r="T12" s="100"/>
      <c r="U12" s="100"/>
      <c r="V12" s="100"/>
      <c r="W12" s="100"/>
    </row>
    <row r="13" spans="2:23" ht="20.100000000000001" customHeight="1" thickBot="1" x14ac:dyDescent="0.3">
      <c r="B13" s="79"/>
      <c r="C13" s="79"/>
      <c r="D13" s="76" t="s">
        <v>277</v>
      </c>
      <c r="E13" s="81">
        <f t="shared" si="0"/>
        <v>323</v>
      </c>
      <c r="F13" s="81">
        <f>IF(AND($G$6&gt;=KONRAD_DATA!$D$3,$G$6&lt;=KONRAD_DATA!$D$4-IF(MID(D13,2,1)="F",KONRAD_DATA!$D$6,0)),$G$6,"")</f>
        <v>1000</v>
      </c>
      <c r="G13" s="78">
        <f>ROUND((('Data ALL'!G78*($G$6/1000)))*(1+'Data ALL'!$O$80),0)</f>
        <v>414</v>
      </c>
      <c r="I13" s="100"/>
      <c r="J13" s="100"/>
      <c r="K13" s="100"/>
      <c r="L13" s="100"/>
      <c r="M13" s="100"/>
      <c r="N13" s="100"/>
      <c r="O13" s="100"/>
      <c r="P13" s="100"/>
      <c r="Q13" s="100"/>
      <c r="R13" s="100"/>
      <c r="S13" s="100"/>
      <c r="T13" s="100"/>
      <c r="U13" s="100"/>
      <c r="V13" s="100"/>
      <c r="W13" s="100"/>
    </row>
    <row r="14" spans="2:23" ht="20.100000000000001" customHeight="1" thickBot="1" x14ac:dyDescent="0.3">
      <c r="B14" s="79"/>
      <c r="C14" s="79"/>
      <c r="D14" s="76" t="s">
        <v>278</v>
      </c>
      <c r="E14" s="81">
        <f t="shared" si="0"/>
        <v>371</v>
      </c>
      <c r="F14" s="81">
        <f>IF(AND($G$6&gt;=KONRAD_DATA!$D$3,$G$6&lt;=KONRAD_DATA!$D$4-IF(MID(D14,2,1)="F",KONRAD_DATA!$D$6,0)),$G$6,"")</f>
        <v>1000</v>
      </c>
      <c r="G14" s="78">
        <f>ROUND((('Data ALL'!G79*($G$6/1000)))*(1+'Data ALL'!$O$80),0)</f>
        <v>514</v>
      </c>
      <c r="I14" s="100"/>
      <c r="J14" s="100"/>
      <c r="K14" s="100"/>
      <c r="L14" s="100"/>
      <c r="M14" s="100"/>
      <c r="N14" s="100"/>
      <c r="O14" s="100"/>
      <c r="P14" s="100"/>
      <c r="Q14" s="100"/>
      <c r="R14" s="100"/>
      <c r="S14" s="100"/>
      <c r="T14" s="100"/>
      <c r="U14" s="100"/>
      <c r="V14" s="100"/>
      <c r="W14" s="100"/>
    </row>
    <row r="15" spans="2:23" ht="20.100000000000001" customHeight="1" thickBot="1" x14ac:dyDescent="0.3">
      <c r="B15" s="79"/>
      <c r="C15" s="79"/>
      <c r="D15" s="76" t="s">
        <v>279</v>
      </c>
      <c r="E15" s="81">
        <f t="shared" si="0"/>
        <v>419</v>
      </c>
      <c r="F15" s="81">
        <f>IF(AND($G$6&gt;=KONRAD_DATA!$D$3,$G$6&lt;=KONRAD_DATA!$D$4-IF(MID(D15,2,1)="F",KONRAD_DATA!$D$6,0)),$G$6,"")</f>
        <v>1000</v>
      </c>
      <c r="G15" s="78">
        <f>ROUND((('Data ALL'!G80*($G$6/1000)))*(1+'Data ALL'!$O$80),0)</f>
        <v>561</v>
      </c>
      <c r="I15" s="100"/>
      <c r="J15" s="100"/>
      <c r="K15" s="100"/>
      <c r="L15" s="100"/>
      <c r="M15" s="100"/>
      <c r="N15" s="100"/>
      <c r="O15" s="100"/>
      <c r="P15" s="100"/>
      <c r="Q15" s="100"/>
      <c r="R15" s="100"/>
      <c r="S15" s="100"/>
      <c r="T15" s="100"/>
      <c r="U15" s="100"/>
      <c r="V15" s="100"/>
      <c r="W15" s="100"/>
    </row>
    <row r="16" spans="2:23" ht="20.100000000000001" customHeight="1" thickBot="1" x14ac:dyDescent="0.3">
      <c r="B16" s="79"/>
      <c r="C16" s="79"/>
      <c r="D16" s="76" t="s">
        <v>280</v>
      </c>
      <c r="E16" s="81">
        <f t="shared" si="0"/>
        <v>467</v>
      </c>
      <c r="F16" s="81">
        <f>IF(AND($G$6&gt;=KONRAD_DATA!$D$3,$G$6&lt;=KONRAD_DATA!$D$4-IF(MID(D16,2,1)="F",KONRAD_DATA!$D$6,0)),$G$6,"")</f>
        <v>1000</v>
      </c>
      <c r="G16" s="78">
        <f>ROUND((('Data ALL'!G81*($G$6/1000)))*(1+'Data ALL'!$O$80),0)</f>
        <v>608</v>
      </c>
      <c r="I16" s="100"/>
      <c r="J16" s="100"/>
      <c r="K16" s="100"/>
      <c r="L16" s="100"/>
      <c r="M16" s="100"/>
      <c r="N16" s="100"/>
      <c r="O16" s="100"/>
      <c r="P16" s="100"/>
      <c r="Q16" s="100"/>
      <c r="R16" s="100"/>
      <c r="S16" s="100"/>
      <c r="T16" s="100"/>
      <c r="U16" s="100"/>
      <c r="V16" s="100"/>
      <c r="W16" s="100"/>
    </row>
    <row r="17" spans="1:30" ht="20.100000000000001" customHeight="1" thickBot="1" x14ac:dyDescent="0.3">
      <c r="B17" s="79"/>
      <c r="C17" s="79"/>
      <c r="D17" s="76" t="s">
        <v>281</v>
      </c>
      <c r="E17" s="81">
        <f t="shared" si="0"/>
        <v>515</v>
      </c>
      <c r="F17" s="81">
        <f>IF(AND($G$6&gt;=KONRAD_DATA!$D$3,$G$6&lt;=KONRAD_DATA!$D$4-IF(MID(D17,2,1)="F",KONRAD_DATA!$D$6,0)),$G$6,"")</f>
        <v>1000</v>
      </c>
      <c r="G17" s="78">
        <f>ROUND((('Data ALL'!G82*($G$6/1000)))*(1+'Data ALL'!$O$80),0)</f>
        <v>637</v>
      </c>
      <c r="I17" s="100"/>
      <c r="J17" s="100"/>
      <c r="K17" s="100"/>
      <c r="L17" s="100"/>
      <c r="M17" s="100"/>
      <c r="N17" s="100"/>
      <c r="O17" s="100"/>
      <c r="P17" s="100"/>
      <c r="Q17" s="100"/>
      <c r="R17" s="100"/>
      <c r="S17" s="100"/>
      <c r="T17" s="100"/>
      <c r="U17" s="100"/>
      <c r="V17" s="100"/>
      <c r="W17" s="100"/>
    </row>
    <row r="18" spans="1:30" ht="20.100000000000001" customHeight="1" thickBot="1" x14ac:dyDescent="0.3">
      <c r="B18" s="79"/>
      <c r="C18" s="79"/>
      <c r="D18" s="76" t="s">
        <v>282</v>
      </c>
      <c r="E18" s="81">
        <f t="shared" si="0"/>
        <v>563</v>
      </c>
      <c r="F18" s="81">
        <f>IF(AND($G$6&gt;=KONRAD_DATA!$D$3,$G$6&lt;=KONRAD_DATA!$D$4-IF(MID(D18,2,1)="F",KONRAD_DATA!$D$6,0)),$G$6,"")</f>
        <v>1000</v>
      </c>
      <c r="G18" s="78">
        <f>ROUND((('Data ALL'!G83*($G$6/1000)))*(1+'Data ALL'!$O$80),0)</f>
        <v>671</v>
      </c>
      <c r="I18" s="100"/>
      <c r="J18" s="100"/>
      <c r="K18" s="100"/>
      <c r="L18" s="100"/>
      <c r="M18" s="100"/>
      <c r="N18" s="100"/>
      <c r="O18" s="100"/>
      <c r="P18" s="100"/>
      <c r="Q18" s="100"/>
      <c r="R18" s="100"/>
      <c r="S18" s="100"/>
      <c r="T18" s="100"/>
      <c r="U18" s="100"/>
      <c r="V18" s="100"/>
      <c r="W18" s="100"/>
    </row>
    <row r="19" spans="1:30" ht="20.100000000000001" customHeight="1" thickBot="1" x14ac:dyDescent="0.3">
      <c r="B19" s="79"/>
      <c r="C19" s="79"/>
      <c r="D19" s="76" t="s">
        <v>283</v>
      </c>
      <c r="E19" s="81">
        <f t="shared" si="0"/>
        <v>611</v>
      </c>
      <c r="F19" s="81">
        <f>IF(AND($G$6&gt;=KONRAD_DATA!$D$3,$G$6&lt;=KONRAD_DATA!$D$4-IF(MID(D19,2,1)="F",KONRAD_DATA!$D$6,0)),$G$6,"")</f>
        <v>1000</v>
      </c>
      <c r="G19" s="78">
        <f>ROUND((('Data ALL'!G84*($G$6/1000)))*(1+'Data ALL'!$O$80),0)</f>
        <v>707</v>
      </c>
      <c r="I19" s="100"/>
      <c r="J19" s="100"/>
      <c r="K19" s="100"/>
      <c r="L19" s="100"/>
      <c r="M19" s="100"/>
      <c r="N19" s="100"/>
      <c r="O19" s="100"/>
      <c r="P19" s="100"/>
      <c r="Q19" s="100"/>
      <c r="R19" s="100"/>
      <c r="S19" s="100"/>
      <c r="T19" s="100"/>
      <c r="U19" s="100"/>
      <c r="V19" s="100"/>
      <c r="W19" s="100"/>
    </row>
    <row r="20" spans="1:30" ht="20.100000000000001" customHeight="1" thickBot="1" x14ac:dyDescent="0.3">
      <c r="B20" s="79"/>
      <c r="C20" s="79"/>
      <c r="D20" s="76" t="s">
        <v>284</v>
      </c>
      <c r="E20" s="81">
        <f t="shared" si="0"/>
        <v>659</v>
      </c>
      <c r="F20" s="81">
        <f>IF(AND($G$6&gt;=KONRAD_DATA!$D$3,$G$6&lt;=KONRAD_DATA!$D$4-IF(MID(D20,2,1)="F",KONRAD_DATA!$D$6,0)),$G$6,"")</f>
        <v>1000</v>
      </c>
      <c r="G20" s="78">
        <f>ROUND((('Data ALL'!G85*($G$6/1000)))*(1+'Data ALL'!$O$80),0)</f>
        <v>740</v>
      </c>
      <c r="I20" s="100"/>
      <c r="J20" s="100"/>
      <c r="K20" s="100"/>
      <c r="L20" s="100"/>
      <c r="M20" s="100"/>
      <c r="N20" s="100"/>
      <c r="O20" s="100"/>
      <c r="P20" s="100"/>
      <c r="Q20" s="100"/>
      <c r="R20" s="100"/>
      <c r="S20" s="100"/>
      <c r="T20" s="100"/>
      <c r="U20" s="100"/>
      <c r="V20" s="100"/>
      <c r="W20" s="100"/>
    </row>
    <row r="21" spans="1:30" s="63" customFormat="1" ht="20.100000000000001" customHeight="1" x14ac:dyDescent="0.25">
      <c r="E21" s="67"/>
      <c r="F21" s="67"/>
      <c r="H21" s="116"/>
      <c r="X21" s="143"/>
      <c r="Y21" s="143"/>
      <c r="Z21" s="143"/>
      <c r="AA21" s="143"/>
      <c r="AB21" s="105"/>
      <c r="AC21" s="105"/>
      <c r="AD21" s="105"/>
    </row>
    <row r="22" spans="1:30" s="63" customFormat="1" ht="20.100000000000001" customHeight="1" thickBot="1" x14ac:dyDescent="0.3">
      <c r="B22" s="93"/>
      <c r="C22" s="93"/>
      <c r="D22" s="46" t="str">
        <f ca="1">OFFSET(SPROG!$B$41,0,SPROG!$B$2)</f>
        <v>Water carrying tube</v>
      </c>
      <c r="E22" s="46"/>
      <c r="F22" s="46"/>
      <c r="G22" s="46"/>
      <c r="H22" s="116"/>
      <c r="I22" s="116"/>
      <c r="J22" s="126"/>
      <c r="K22" s="116"/>
      <c r="L22" s="116"/>
      <c r="M22" s="116"/>
      <c r="N22" s="116"/>
      <c r="O22" s="116"/>
      <c r="P22" s="116"/>
      <c r="Q22" s="116"/>
      <c r="R22" s="116"/>
      <c r="S22" s="116"/>
      <c r="T22" s="143"/>
      <c r="U22" s="143"/>
      <c r="V22" s="143"/>
      <c r="W22" s="143"/>
      <c r="X22" s="143"/>
      <c r="Y22" s="143"/>
      <c r="Z22" s="143"/>
      <c r="AA22" s="143"/>
      <c r="AB22" s="105"/>
      <c r="AC22" s="105"/>
      <c r="AD22" s="105"/>
    </row>
    <row r="23" spans="1:30" s="63" customFormat="1" ht="20.100000000000001" customHeight="1" thickBot="1" x14ac:dyDescent="0.3">
      <c r="B23" s="106"/>
      <c r="C23" s="106"/>
      <c r="D23" s="46" t="str">
        <f ca="1">OFFSET(SPROG!$B$42,0,SPROG!$B$2)</f>
        <v>Convector</v>
      </c>
      <c r="E23" s="62"/>
      <c r="F23" s="62"/>
      <c r="G23" s="62"/>
      <c r="H23" s="116"/>
      <c r="I23" s="116"/>
      <c r="J23" s="126"/>
      <c r="K23" s="116"/>
      <c r="L23" s="116"/>
      <c r="M23" s="116"/>
      <c r="N23" s="116"/>
      <c r="O23" s="116"/>
      <c r="P23" s="116"/>
      <c r="Q23" s="116"/>
      <c r="R23" s="116"/>
      <c r="S23" s="116"/>
      <c r="T23" s="143"/>
      <c r="U23" s="143"/>
      <c r="V23" s="143"/>
      <c r="W23" s="143"/>
      <c r="X23" s="143"/>
      <c r="Y23" s="143"/>
      <c r="Z23" s="143"/>
      <c r="AA23" s="143"/>
      <c r="AB23" s="105"/>
      <c r="AC23" s="105"/>
      <c r="AD23" s="105"/>
    </row>
    <row r="24" spans="1:30" ht="20.100000000000001" customHeight="1" x14ac:dyDescent="0.25">
      <c r="A24" s="63"/>
      <c r="B24" s="95"/>
      <c r="C24" s="95"/>
      <c r="D24" s="48" t="str">
        <f ca="1">OFFSET(SPROG!$B$72,0,SPROG!$B$2)</f>
        <v>Trench / Steel trench</v>
      </c>
      <c r="E24" s="48"/>
      <c r="F24" s="48"/>
      <c r="G24" s="48"/>
      <c r="L24" s="133"/>
      <c r="M24" s="133"/>
      <c r="N24" s="132"/>
    </row>
    <row r="25" spans="1:30" ht="20.100000000000001" customHeight="1" x14ac:dyDescent="0.25">
      <c r="B25" s="67"/>
      <c r="C25" s="90"/>
    </row>
    <row r="26" spans="1:30" s="97" customFormat="1" ht="20.100000000000001" customHeight="1" x14ac:dyDescent="0.25">
      <c r="B26" s="97" t="str">
        <f ca="1">OFFSET(SPROG!$B$47,0,SPROG!$B$2)</f>
        <v>Nominal output</v>
      </c>
      <c r="C26" s="97" t="s">
        <v>20</v>
      </c>
      <c r="G26" s="107"/>
      <c r="H26" s="144"/>
      <c r="I26" s="144"/>
      <c r="J26" s="144"/>
      <c r="K26" s="144"/>
      <c r="L26" s="144"/>
      <c r="M26" s="144"/>
      <c r="N26" s="145"/>
      <c r="O26" s="144"/>
      <c r="P26" s="144"/>
      <c r="Q26" s="144"/>
      <c r="R26" s="144"/>
      <c r="S26" s="144"/>
      <c r="T26" s="146"/>
      <c r="U26" s="146"/>
      <c r="V26" s="146"/>
      <c r="W26" s="146"/>
      <c r="X26" s="146"/>
      <c r="Y26" s="146"/>
      <c r="Z26" s="146"/>
      <c r="AA26" s="146"/>
      <c r="AB26" s="108"/>
      <c r="AC26" s="108"/>
      <c r="AD26" s="108"/>
    </row>
    <row r="27" spans="1:30" s="97" customFormat="1" ht="20.100000000000001" customHeight="1" x14ac:dyDescent="0.25">
      <c r="B27" s="97" t="str">
        <f ca="1">OFFSET(SPROG!$B$48,0,SPROG!$B$2)</f>
        <v>Conversion factor</v>
      </c>
      <c r="C27" s="98" t="s">
        <v>263</v>
      </c>
      <c r="D27" s="109"/>
      <c r="H27" s="144"/>
      <c r="I27" s="144"/>
      <c r="J27" s="144"/>
      <c r="K27" s="144"/>
      <c r="L27" s="144"/>
      <c r="M27" s="144"/>
      <c r="N27" s="144"/>
      <c r="O27" s="144"/>
      <c r="P27" s="144"/>
      <c r="Q27" s="144"/>
      <c r="R27" s="144"/>
      <c r="S27" s="144"/>
      <c r="T27" s="146"/>
      <c r="U27" s="146"/>
      <c r="V27" s="146"/>
      <c r="W27" s="146"/>
      <c r="X27" s="146"/>
      <c r="Y27" s="146"/>
      <c r="Z27" s="146"/>
      <c r="AA27" s="146"/>
      <c r="AB27" s="108"/>
      <c r="AC27" s="108"/>
      <c r="AD27" s="108"/>
    </row>
    <row r="28" spans="1:30" s="97" customFormat="1" ht="39.950000000000003" customHeight="1" x14ac:dyDescent="0.25">
      <c r="B28"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28" s="178"/>
      <c r="D28" s="178"/>
      <c r="E28" s="178"/>
      <c r="F28" s="178"/>
      <c r="G28" s="178"/>
      <c r="H28" s="144"/>
      <c r="I28" s="144"/>
      <c r="J28" s="144"/>
      <c r="K28" s="144"/>
      <c r="L28" s="144"/>
      <c r="M28" s="144"/>
      <c r="N28" s="145"/>
      <c r="O28" s="144"/>
      <c r="P28" s="144"/>
      <c r="Q28" s="144"/>
      <c r="R28" s="144"/>
      <c r="S28" s="144"/>
      <c r="T28" s="146"/>
      <c r="U28" s="146"/>
      <c r="V28" s="146"/>
      <c r="W28" s="146"/>
      <c r="X28" s="146"/>
      <c r="Y28" s="146"/>
      <c r="Z28" s="146"/>
      <c r="AA28" s="146"/>
      <c r="AB28" s="108"/>
      <c r="AC28" s="108"/>
      <c r="AD28" s="108"/>
    </row>
    <row r="29" spans="1:30" ht="21" customHeight="1" x14ac:dyDescent="0.25">
      <c r="B29" s="178" t="str">
        <f ca="1">OFFSET(SPROG!$B$50,0,SPROG!$B$2)</f>
        <v>For ProLine with steeltrench, it is recommended to calculate an adjustment tolerance of min. 10mm according to the trench depth.</v>
      </c>
      <c r="C29" s="178"/>
      <c r="D29" s="178"/>
      <c r="E29" s="178"/>
      <c r="F29" s="178"/>
      <c r="G29" s="178"/>
    </row>
  </sheetData>
  <sheetProtection algorithmName="SHA-512" hashValue="BoaRj8hmDN5S4GCxRQLXxVnsCY1qKVvhUEh95+DrQ5dgJMrZedtxQ/1T9pHcKxFH9EPu8HibgHNoiVmGKRA/9g==" saltValue="+CoHX46m7c10ORkZ+Oo1Nw==" spinCount="100000" sheet="1" objects="1" scenarios="1" selectLockedCells="1"/>
  <mergeCells count="2">
    <mergeCell ref="B28:G28"/>
    <mergeCell ref="B29:G29"/>
  </mergeCells>
  <phoneticPr fontId="2" type="noConversion"/>
  <conditionalFormatting sqref="C6:F6">
    <cfRule type="expression" dxfId="1" priority="1">
      <formula>$C$6&lt;$D$6+10</formula>
    </cfRule>
  </conditionalFormatting>
  <dataValidations count="1">
    <dataValidation type="whole" allowBlank="1" showInputMessage="1" showErrorMessage="1" errorTitle="Invalid value" error="Please select a value between 400 and 6000" sqref="G6" xr:uid="{8275977A-8042-4402-B2CD-AFDFB824CCB0}">
      <formula1>400</formula1>
      <formula2>6000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990095-C7E7-44F7-8F8D-B80083A18735}">
          <x14:formula1>
            <xm:f>Dropdown!$A$2:$A$3</xm:f>
          </x14:formula1>
          <xm:sqref>C4</xm:sqref>
        </x14:dataValidation>
        <x14:dataValidation type="list" allowBlank="1" showInputMessage="1" showErrorMessage="1" xr:uid="{EDE2B109-3F35-435A-BBBA-476A43D566BB}">
          <x14:formula1>
            <xm:f>Dropdown!$C$2:$C$6</xm:f>
          </x14:formula1>
          <xm:sqref>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160C1-C33B-436A-99D6-E06DF5A20A34}">
  <sheetPr>
    <pageSetUpPr autoPageBreaks="0"/>
  </sheetPr>
  <dimension ref="B1:Z39"/>
  <sheetViews>
    <sheetView showGridLines="0" showRowColHeaders="0" workbookViewId="0">
      <selection activeCell="C4" sqref="C4"/>
    </sheetView>
  </sheetViews>
  <sheetFormatPr defaultRowHeight="12.75" x14ac:dyDescent="0.25"/>
  <cols>
    <col min="1" max="1" width="10.7109375" style="63" customWidth="1"/>
    <col min="2" max="3" width="18.7109375" style="63" customWidth="1"/>
    <col min="4" max="6" width="19.28515625" style="63" customWidth="1"/>
    <col min="7" max="7" width="24.140625" style="63" customWidth="1"/>
    <col min="8" max="8" width="6.7109375" style="116" customWidth="1"/>
    <col min="9" max="26" width="9.140625" style="117"/>
    <col min="27" max="16384" width="9.140625" style="63"/>
  </cols>
  <sheetData>
    <row r="1" spans="2:26" ht="20.100000000000001" customHeight="1" x14ac:dyDescent="0.25"/>
    <row r="2" spans="2:26" ht="39.950000000000003" customHeight="1" x14ac:dyDescent="0.25"/>
    <row r="3" spans="2:26" ht="30" customHeight="1" x14ac:dyDescent="0.25">
      <c r="B3" s="65" t="str">
        <f ca="1">OFFSET(SPROG!$B$13,0,SPROG!$B$2)</f>
        <v>CONVECTOR / RADIATOR</v>
      </c>
      <c r="C3" s="66"/>
    </row>
    <row r="4" spans="2:26" ht="30" customHeight="1" x14ac:dyDescent="0.25">
      <c r="B4" s="67" t="str">
        <f ca="1">OFFSET(SPROG!$B$21,0,SPROG!$B$2)</f>
        <v>Calculation method</v>
      </c>
      <c r="C4" s="176" t="s">
        <v>17</v>
      </c>
      <c r="D4" s="64">
        <f>((C6+D6)/2)-E6</f>
        <v>50</v>
      </c>
      <c r="E4" s="64"/>
      <c r="F4" s="64" t="str">
        <f>LEFT($C$4,1)</f>
        <v>A</v>
      </c>
    </row>
    <row r="5" spans="2:26" s="70" customFormat="1" ht="20.100000000000001" customHeight="1" x14ac:dyDescent="0.25">
      <c r="B5" s="68"/>
      <c r="C5" s="69" t="str">
        <f ca="1">OFFSET(SPROG!$B$28,0,SPROG!$B$2)</f>
        <v>Flow (C°)</v>
      </c>
      <c r="D5" s="69" t="str">
        <f ca="1">OFFSET(SPROG!$B$29,0,SPROG!$B$2)</f>
        <v>Return (C°)</v>
      </c>
      <c r="E5" s="69" t="str">
        <f ca="1">OFFSET(SPROG!$B$30,0,SPROG!$B$2)</f>
        <v>Room (C°)</v>
      </c>
      <c r="F5" s="69" t="str">
        <f ca="1">OFFSET(SPROG!$B$33,0,SPROG!$B$2)</f>
        <v>Height - mm</v>
      </c>
      <c r="G5" s="69" t="str">
        <f ca="1">OFFSET(SPROG!$B$32,0,SPROG!$B$2)</f>
        <v>Length - mm</v>
      </c>
      <c r="H5" s="118"/>
      <c r="I5" s="119"/>
      <c r="J5" s="167"/>
      <c r="K5" s="167"/>
      <c r="L5" s="167"/>
      <c r="M5" s="167"/>
      <c r="N5" s="167"/>
      <c r="O5" s="167"/>
      <c r="P5" s="119"/>
      <c r="Q5" s="119"/>
      <c r="R5" s="119"/>
      <c r="S5" s="119"/>
      <c r="T5" s="119"/>
      <c r="U5" s="119"/>
      <c r="V5" s="119"/>
      <c r="W5" s="119"/>
      <c r="X5" s="119"/>
      <c r="Y5" s="119"/>
      <c r="Z5" s="119"/>
    </row>
    <row r="6" spans="2:26" ht="20.100000000000001" customHeight="1" x14ac:dyDescent="0.25">
      <c r="B6" s="71" t="str">
        <f>IF($F$4="A","ΔT "&amp;D4,"ΔT "&amp;E4)</f>
        <v>ΔT 50</v>
      </c>
      <c r="C6" s="33">
        <v>75</v>
      </c>
      <c r="D6" s="33">
        <v>65</v>
      </c>
      <c r="E6" s="33">
        <v>20</v>
      </c>
      <c r="F6" s="33">
        <v>280</v>
      </c>
      <c r="G6" s="33">
        <v>1000</v>
      </c>
      <c r="J6" s="151"/>
      <c r="K6" s="151"/>
      <c r="L6" s="151"/>
      <c r="M6" s="151"/>
      <c r="N6" s="151"/>
      <c r="O6" s="151"/>
    </row>
    <row r="7" spans="2:26" ht="9.9499999999999993" customHeight="1" x14ac:dyDescent="0.25"/>
    <row r="8" spans="2:26" ht="20.100000000000001" customHeight="1" x14ac:dyDescent="0.25">
      <c r="B8" s="69" t="str">
        <f ca="1">OFFSET(SPROG!$B$36,0,SPROG!$B$2)</f>
        <v>Configuration</v>
      </c>
      <c r="C8" s="69"/>
      <c r="D8" s="69" t="str">
        <f ca="1">OFFSET(SPROG!$B$37,0,SPROG!$B$2)</f>
        <v>Type</v>
      </c>
      <c r="E8" s="69" t="str">
        <f ca="1">OFFSET(SPROG!$B$34,0,SPROG!$B$2)</f>
        <v>Prod. Width</v>
      </c>
      <c r="F8" s="69" t="str">
        <f ca="1">OFFSET(SPROG!$B$32,0,SPROG!$B$2)</f>
        <v>Length - mm</v>
      </c>
      <c r="G8" s="69" t="str">
        <f ca="1">OFFSET(SPROG!$B$31,0,SPROG!$B$2)&amp;G6&amp;" mm"</f>
        <v>Output at 1000 mm</v>
      </c>
    </row>
    <row r="9" spans="2:26" s="74" customFormat="1" ht="15" customHeight="1" x14ac:dyDescent="0.2">
      <c r="B9" s="72" t="str">
        <f ca="1">OFFSET(SPROG!$B$51,0,SPROG!$B$2)</f>
        <v>CONLINE &amp; TOPLINE</v>
      </c>
      <c r="C9" s="73"/>
      <c r="D9" s="73"/>
      <c r="E9" s="73"/>
      <c r="F9" s="73"/>
      <c r="G9" s="73"/>
      <c r="H9" s="120"/>
      <c r="I9" s="121"/>
      <c r="J9" s="121"/>
      <c r="K9" s="121"/>
      <c r="L9" s="121"/>
      <c r="M9" s="121"/>
      <c r="N9" s="121"/>
      <c r="O9" s="121"/>
      <c r="P9" s="121"/>
      <c r="Q9" s="121"/>
      <c r="R9" s="121"/>
      <c r="S9" s="121"/>
      <c r="T9" s="121"/>
      <c r="U9" s="121"/>
      <c r="V9" s="121"/>
      <c r="W9" s="121"/>
      <c r="X9" s="121"/>
      <c r="Y9" s="121"/>
      <c r="Z9" s="121"/>
    </row>
    <row r="10" spans="2:26" ht="20.100000000000001" customHeight="1" thickBot="1" x14ac:dyDescent="0.3">
      <c r="B10" s="75"/>
      <c r="C10" s="75"/>
      <c r="D10" s="76" t="str">
        <f>INDEX(KONRAD_TYPE,1,KONRAD_DATA!A4-1)&amp;" "&amp;IF($F$6=70,0,"")&amp;$F$6/10&amp;INDEX(KONRAD_TYPE,2,KONRAD_DATA!A4-1)</f>
        <v>CL / TL 2801</v>
      </c>
      <c r="E10" s="77">
        <v>46</v>
      </c>
      <c r="F10" s="77">
        <f>IF(AND($G$6&gt;=KONRAD_DATA!$D$3,$G$6&lt;=KONRAD_DATA!$D$4-IF(MID(D10,2,1)="F",KONRAD_DATA!$D$6,0)),$G$6,"")</f>
        <v>1000</v>
      </c>
      <c r="G10" s="78">
        <f>IF($F10="","",ROUND(($F10/1000)*VLOOKUP($F$6,KONRAD_YDELSER,KONRAD_DATA!$A4,FALSE),0))</f>
        <v>315</v>
      </c>
    </row>
    <row r="11" spans="2:26" ht="20.100000000000001" customHeight="1" thickBot="1" x14ac:dyDescent="0.3">
      <c r="B11" s="79"/>
      <c r="C11" s="79"/>
      <c r="D11" s="80" t="str">
        <f>INDEX(KONRAD_TYPE,1,KONRAD_DATA!A5-1)&amp;" "&amp;IF($F$6=70,0,"")&amp;$F$6/10&amp;INDEX(KONRAD_TYPE,2,KONRAD_DATA!A5-1)</f>
        <v>CL / TL 2802</v>
      </c>
      <c r="E11" s="81">
        <v>96</v>
      </c>
      <c r="F11" s="81">
        <f>IF(AND($G$6&gt;=KONRAD_DATA!$D$3,$G$6&lt;=KONRAD_DATA!$D$4-IF(MID(D11,2,1)="F",KONRAD_DATA!$D$6,0)),$G$6,"")</f>
        <v>1000</v>
      </c>
      <c r="G11" s="82">
        <f>IF($F11="","",ROUND(($F11/1000)*VLOOKUP($F$6,KONRAD_YDELSER,KONRAD_DATA!$A5,FALSE),0))</f>
        <v>583</v>
      </c>
    </row>
    <row r="12" spans="2:26" ht="20.100000000000001" customHeight="1" thickBot="1" x14ac:dyDescent="0.3">
      <c r="B12" s="79"/>
      <c r="C12" s="79"/>
      <c r="D12" s="80" t="str">
        <f>INDEX(KONRAD_TYPE,1,KONRAD_DATA!A6-1)&amp;" "&amp;IF($F$6=70,0,"")&amp;$F$6/10&amp;INDEX(KONRAD_TYPE,2,KONRAD_DATA!A6-1)</f>
        <v>CL / TL 2803</v>
      </c>
      <c r="E12" s="81">
        <v>181</v>
      </c>
      <c r="F12" s="81">
        <f>IF(AND($G$6&gt;=KONRAD_DATA!$D$3,$G$6&lt;=KONRAD_DATA!$D$4-IF(MID(D12,2,1)="F",KONRAD_DATA!$D$6,0)),$G$6,"")</f>
        <v>1000</v>
      </c>
      <c r="G12" s="82">
        <f>IF($F12="","",ROUND(($F12/1000)*VLOOKUP($F$6,KONRAD_YDELSER,KONRAD_DATA!$A6,FALSE),0))</f>
        <v>957</v>
      </c>
    </row>
    <row r="13" spans="2:26" s="74" customFormat="1" ht="15" customHeight="1" thickBot="1" x14ac:dyDescent="0.25">
      <c r="B13" s="72" t="str">
        <f ca="1">OFFSET(SPROG!$B$52,0,SPROG!$B$2)</f>
        <v>TOPLINE SLIM</v>
      </c>
      <c r="C13" s="83"/>
      <c r="D13" s="84"/>
      <c r="E13" s="83"/>
      <c r="F13" s="83"/>
      <c r="G13" s="85"/>
      <c r="H13" s="120"/>
      <c r="I13" s="121"/>
      <c r="J13" s="121"/>
      <c r="K13" s="121"/>
      <c r="L13" s="121"/>
      <c r="M13" s="121"/>
      <c r="N13" s="121"/>
      <c r="O13" s="121"/>
      <c r="P13" s="121"/>
      <c r="Q13" s="121"/>
      <c r="R13" s="121"/>
      <c r="S13" s="121"/>
      <c r="T13" s="121"/>
      <c r="U13" s="121"/>
      <c r="V13" s="121"/>
      <c r="W13" s="121"/>
      <c r="X13" s="121"/>
      <c r="Y13" s="121"/>
      <c r="Z13" s="121"/>
    </row>
    <row r="14" spans="2:26" ht="20.100000000000001" customHeight="1" thickBot="1" x14ac:dyDescent="0.3">
      <c r="B14" s="79"/>
      <c r="C14" s="79"/>
      <c r="D14" s="80" t="str">
        <f>INDEX(KONRAD_TYPE,1,KONRAD_DATA!A17-1)&amp;" "&amp;IF($F$6=70,0,"")&amp;$F$6/10&amp;INDEX(KONRAD_TYPE,2,KONRAD_DATA!A17-1)</f>
        <v>TS 2802</v>
      </c>
      <c r="E14" s="81">
        <v>50</v>
      </c>
      <c r="F14" s="81">
        <f>IF(AND($G$6&gt;=KONRAD_DATA!$D$3,$G$6&lt;=KONRAD_DATA!$D$4-IF(MID(D14,2,1)="F",KONRAD_DATA!$D$6,0)),$G$6,"")</f>
        <v>1000</v>
      </c>
      <c r="G14" s="82">
        <f>IF($F14="","",ROUND(($F14/1000)*VLOOKUP($F$6,KONRAD_YDELSER,KONRAD_DATA!$A17,FALSE),0))</f>
        <v>415</v>
      </c>
    </row>
    <row r="15" spans="2:26" ht="20.100000000000001" customHeight="1" thickBot="1" x14ac:dyDescent="0.3">
      <c r="B15" s="79"/>
      <c r="C15" s="79"/>
      <c r="D15" s="80" t="str">
        <f>INDEX(KONRAD_TYPE,1,KONRAD_DATA!A18-1)&amp;" "&amp;IF($F$6=70,0,"")&amp;$F$6/10&amp;INDEX(KONRAD_TYPE,2,KONRAD_DATA!A18-1)</f>
        <v>TS 2803</v>
      </c>
      <c r="E15" s="81">
        <v>104</v>
      </c>
      <c r="F15" s="81">
        <f>IF(AND($G$6&gt;=KONRAD_DATA!$D$3,$G$6&lt;=KONRAD_DATA!$D$4-IF(MID(D15,2,1)="F",KONRAD_DATA!$D$6,0)),$G$6,"")</f>
        <v>1000</v>
      </c>
      <c r="G15" s="82">
        <f>IF($F15="","",ROUND(($F15/1000)*VLOOKUP($F$6,KONRAD_YDELSER,KONRAD_DATA!$A18,FALSE),0))</f>
        <v>663</v>
      </c>
    </row>
    <row r="16" spans="2:26" s="74" customFormat="1" ht="15" customHeight="1" thickBot="1" x14ac:dyDescent="0.25">
      <c r="B16" s="72" t="str">
        <f ca="1">OFFSET(SPROG!$B$53,0,SPROG!$B$2)</f>
        <v>CONLINE &amp; TOPLINE WITH TOP GRILL</v>
      </c>
      <c r="C16" s="83"/>
      <c r="D16" s="84"/>
      <c r="E16" s="83"/>
      <c r="F16" s="83"/>
      <c r="G16" s="85"/>
      <c r="H16" s="120"/>
      <c r="I16" s="121"/>
      <c r="J16" s="121"/>
      <c r="K16" s="121"/>
      <c r="L16" s="121"/>
      <c r="M16" s="121"/>
      <c r="N16" s="121"/>
      <c r="O16" s="121"/>
      <c r="P16" s="121"/>
      <c r="Q16" s="121"/>
      <c r="R16" s="121"/>
      <c r="S16" s="121"/>
      <c r="T16" s="121"/>
      <c r="U16" s="121"/>
      <c r="V16" s="121"/>
      <c r="W16" s="121"/>
      <c r="X16" s="121"/>
      <c r="Y16" s="121"/>
      <c r="Z16" s="121"/>
    </row>
    <row r="17" spans="2:26" ht="20.100000000000001" customHeight="1" thickBot="1" x14ac:dyDescent="0.3">
      <c r="B17" s="79"/>
      <c r="C17" s="79"/>
      <c r="D17" s="80" t="str">
        <f>INDEX(KONRAD_TYPE,1,KONRAD_DATA!A7-1)&amp;" "&amp;IF($F$6=70,0,"")&amp;$F$6/10&amp;INDEX(KONRAD_TYPE,2,KONRAD_DATA!A7-1)</f>
        <v>TLX 2801</v>
      </c>
      <c r="E17" s="81">
        <v>46</v>
      </c>
      <c r="F17" s="81">
        <f>IF(AND($G$6&gt;=KONRAD_DATA!$D$3,$G$6&lt;=KONRAD_DATA!$D$4-IF(MID(D17,2,1)="F",KONRAD_DATA!$D$6,0)),$G$6,"")</f>
        <v>1000</v>
      </c>
      <c r="G17" s="82">
        <f>IF($F17="","",ROUND(($F17/1000)*VLOOKUP($F$6,KONRAD_YDELSER,KONRAD_DATA!$A7,FALSE),0))</f>
        <v>306</v>
      </c>
    </row>
    <row r="18" spans="2:26" ht="20.100000000000001" customHeight="1" thickBot="1" x14ac:dyDescent="0.3">
      <c r="B18" s="79"/>
      <c r="C18" s="79"/>
      <c r="D18" s="80" t="str">
        <f>INDEX(KONRAD_TYPE,1,KONRAD_DATA!A8-1)&amp;" "&amp;IF($F$6=70,0,"")&amp;$F$6/10&amp;INDEX(KONRAD_TYPE,2,KONRAD_DATA!A8-1)</f>
        <v>CLX / TLX 2802</v>
      </c>
      <c r="E18" s="81">
        <v>96</v>
      </c>
      <c r="F18" s="81">
        <f>IF(AND($G$6&gt;=KONRAD_DATA!$D$3,$G$6&lt;=KONRAD_DATA!$D$4-IF(MID(D18,2,1)="F",KONRAD_DATA!$D$6,0)),$G$6,"")</f>
        <v>1000</v>
      </c>
      <c r="G18" s="82">
        <f>IF($F18="","",ROUND(($F18/1000)*VLOOKUP($F$6,KONRAD_YDELSER,KONRAD_DATA!$A8,FALSE),0))</f>
        <v>556</v>
      </c>
    </row>
    <row r="19" spans="2:26" ht="20.100000000000001" customHeight="1" thickBot="1" x14ac:dyDescent="0.3">
      <c r="B19" s="79"/>
      <c r="C19" s="79"/>
      <c r="D19" s="80" t="str">
        <f>INDEX(KONRAD_TYPE,1,KONRAD_DATA!A9-1)&amp;" "&amp;IF($F$6=70,0,"")&amp;$F$6/10&amp;INDEX(KONRAD_TYPE,2,KONRAD_DATA!A9-1)</f>
        <v>CLX / TLX 2803</v>
      </c>
      <c r="E19" s="81">
        <v>181</v>
      </c>
      <c r="F19" s="81">
        <f>IF(AND($G$6&gt;=KONRAD_DATA!$D$3,$G$6&lt;=KONRAD_DATA!$D$4-IF(MID(D19,2,1)="F",KONRAD_DATA!$D$6,0)),$G$6,"")</f>
        <v>1000</v>
      </c>
      <c r="G19" s="82">
        <f>IF($F19="","",ROUND(($F19/1000)*VLOOKUP($F$6,KONRAD_YDELSER,KONRAD_DATA!$A9,FALSE),0))</f>
        <v>891</v>
      </c>
    </row>
    <row r="20" spans="2:26" s="74" customFormat="1" ht="15" customHeight="1" thickBot="1" x14ac:dyDescent="0.25">
      <c r="B20" s="72" t="str">
        <f ca="1">OFFSET(SPROG!$B$54,0,SPROG!$B$2)</f>
        <v>TOPLINE SLIM WITH TOP GRILL</v>
      </c>
      <c r="C20" s="83"/>
      <c r="D20" s="84"/>
      <c r="E20" s="83"/>
      <c r="F20" s="83"/>
      <c r="G20" s="85"/>
      <c r="H20" s="120"/>
      <c r="I20" s="121"/>
      <c r="J20" s="121"/>
      <c r="K20" s="121"/>
      <c r="L20" s="121"/>
      <c r="M20" s="121"/>
      <c r="N20" s="121"/>
      <c r="O20" s="121"/>
      <c r="P20" s="121"/>
      <c r="Q20" s="121"/>
      <c r="R20" s="121"/>
      <c r="S20" s="121"/>
      <c r="T20" s="121"/>
      <c r="U20" s="121"/>
      <c r="V20" s="121"/>
      <c r="W20" s="121"/>
      <c r="X20" s="121"/>
      <c r="Y20" s="121"/>
      <c r="Z20" s="121"/>
    </row>
    <row r="21" spans="2:26" ht="20.100000000000001" customHeight="1" thickBot="1" x14ac:dyDescent="0.3">
      <c r="B21" s="79"/>
      <c r="C21" s="79"/>
      <c r="D21" s="80" t="str">
        <f>INDEX(KONRAD_TYPE,1,KONRAD_DATA!A10-1)&amp;" "&amp;IF($F$6=70,0,"")&amp;$F$6/10&amp;INDEX(KONRAD_TYPE,2,KONRAD_DATA!A10-1)</f>
        <v>TSX 2802</v>
      </c>
      <c r="E21" s="81">
        <v>50</v>
      </c>
      <c r="F21" s="81">
        <f>IF(AND($G$6&gt;=KONRAD_DATA!$D$3,$G$6&lt;=KONRAD_DATA!$D$4-IF(MID(D21,2,1)="F",KONRAD_DATA!$D$6,0)),$G$6,"")</f>
        <v>1000</v>
      </c>
      <c r="G21" s="82">
        <f>IF($F21="","",ROUND(($F21/1000)*VLOOKUP($F$6,KONRAD_YDELSER,KONRAD_DATA!$A10,FALSE),0))</f>
        <v>401</v>
      </c>
    </row>
    <row r="22" spans="2:26" ht="20.100000000000001" customHeight="1" thickBot="1" x14ac:dyDescent="0.3">
      <c r="B22" s="79"/>
      <c r="C22" s="79"/>
      <c r="D22" s="80" t="str">
        <f>INDEX(KONRAD_TYPE,1,KONRAD_DATA!A11-1)&amp;" "&amp;IF($F$6=70,0,"")&amp;$F$6/10&amp;INDEX(KONRAD_TYPE,2,KONRAD_DATA!A11-1)</f>
        <v>TSX 2803</v>
      </c>
      <c r="E22" s="81">
        <v>104</v>
      </c>
      <c r="F22" s="81">
        <f>IF(AND($G$6&gt;=KONRAD_DATA!$D$3,$G$6&lt;=KONRAD_DATA!$D$4-IF(MID(D22,2,1)="F",KONRAD_DATA!$D$6,0)),$G$6,"")</f>
        <v>1000</v>
      </c>
      <c r="G22" s="82">
        <f>IF($F22="","",ROUND(($F22/1000)*VLOOKUP($F$6,KONRAD_YDELSER,KONRAD_DATA!$A11,FALSE),0))</f>
        <v>630</v>
      </c>
    </row>
    <row r="23" spans="2:26" s="74" customFormat="1" ht="15" customHeight="1" thickBot="1" x14ac:dyDescent="0.25">
      <c r="B23" s="72" t="str">
        <f ca="1">OFFSET(SPROG!$B$55,0,SPROG!$B$2)</f>
        <v>TOPLINE WITH FRONT PLATE AND TOP GRILL</v>
      </c>
      <c r="C23" s="83"/>
      <c r="D23" s="84"/>
      <c r="E23" s="83"/>
      <c r="F23" s="83"/>
      <c r="G23" s="85"/>
      <c r="H23" s="120"/>
      <c r="I23" s="121"/>
      <c r="J23" s="121"/>
      <c r="K23" s="121"/>
      <c r="L23" s="121"/>
      <c r="M23" s="121"/>
      <c r="N23" s="121"/>
      <c r="O23" s="121"/>
      <c r="P23" s="121"/>
      <c r="Q23" s="121"/>
      <c r="R23" s="121"/>
      <c r="S23" s="121"/>
      <c r="T23" s="121"/>
      <c r="U23" s="121"/>
      <c r="V23" s="121"/>
      <c r="W23" s="121"/>
      <c r="X23" s="121"/>
      <c r="Y23" s="121"/>
      <c r="Z23" s="121"/>
    </row>
    <row r="24" spans="2:26" ht="20.100000000000001" customHeight="1" thickBot="1" x14ac:dyDescent="0.3">
      <c r="B24" s="79"/>
      <c r="C24" s="79"/>
      <c r="D24" s="80" t="str">
        <f>INDEX(KONRAD_TYPE,1,KONRAD_DATA!A12-1)&amp;" "&amp;IF($F$6=70,0,"")&amp;$F$6/10&amp;INDEX(KONRAD_TYPE,2,KONRAD_DATA!A12-1)</f>
        <v>TLXF 2801</v>
      </c>
      <c r="E24" s="81">
        <v>60</v>
      </c>
      <c r="F24" s="81">
        <f>IF(AND($G$6&gt;=KONRAD_DATA!$D$3,$G$6&lt;=KONRAD_DATA!$D$4-IF(MID(D24,2,1)="F",KONRAD_DATA!$D$6,0)),$G$6,"")</f>
        <v>1000</v>
      </c>
      <c r="G24" s="82">
        <f>IF($F24="","",ROUND(($F24/1000)*VLOOKUP($F$6,KONRAD_YDELSER,KONRAD_DATA!$A12,FALSE),0))</f>
        <v>260</v>
      </c>
    </row>
    <row r="25" spans="2:26" ht="20.100000000000001" customHeight="1" thickBot="1" x14ac:dyDescent="0.3">
      <c r="B25" s="79"/>
      <c r="C25" s="79"/>
      <c r="D25" s="80" t="str">
        <f>INDEX(KONRAD_TYPE,1,KONRAD_DATA!A13-1)&amp;" "&amp;IF($F$6=70,0,"")&amp;$F$6/10&amp;INDEX(KONRAD_TYPE,2,KONRAD_DATA!A13-1)</f>
        <v>TLXF 2802</v>
      </c>
      <c r="E25" s="81">
        <v>110</v>
      </c>
      <c r="F25" s="81">
        <f>IF(AND($G$6&gt;=KONRAD_DATA!$D$3,$G$6&lt;=KONRAD_DATA!$D$4-IF(MID(D25,2,1)="F",KONRAD_DATA!$D$6,0)),$G$6,"")</f>
        <v>1000</v>
      </c>
      <c r="G25" s="82">
        <f>IF($F25="","",ROUND(($F25/1000)*VLOOKUP($F$6,KONRAD_YDELSER,KONRAD_DATA!$A13,FALSE),0))</f>
        <v>473</v>
      </c>
    </row>
    <row r="26" spans="2:26" ht="20.100000000000001" customHeight="1" thickBot="1" x14ac:dyDescent="0.3">
      <c r="B26" s="79"/>
      <c r="C26" s="79"/>
      <c r="D26" s="80" t="str">
        <f>INDEX(KONRAD_TYPE,1,KONRAD_DATA!A14-1)&amp;" "&amp;IF($F$6=70,0,"")&amp;$F$6/10&amp;INDEX(KONRAD_TYPE,2,KONRAD_DATA!A14-1)</f>
        <v>TLXF 2803</v>
      </c>
      <c r="E26" s="81">
        <v>195</v>
      </c>
      <c r="F26" s="81">
        <f>IF(AND($G$6&gt;=KONRAD_DATA!$D$3,$G$6&lt;=KONRAD_DATA!$D$4-IF(MID(D26,2,1)="F",KONRAD_DATA!$D$6,0)),$G$6,"")</f>
        <v>1000</v>
      </c>
      <c r="G26" s="82">
        <f>IF($F26="","",ROUND(($F26/1000)*VLOOKUP($F$6,KONRAD_YDELSER,KONRAD_DATA!$A14,FALSE),0))</f>
        <v>757</v>
      </c>
    </row>
    <row r="27" spans="2:26" s="74" customFormat="1" ht="15" customHeight="1" thickBot="1" x14ac:dyDescent="0.25">
      <c r="B27" s="72" t="str">
        <f ca="1">OFFSET(SPROG!$B$56,0,SPROG!$B$2)</f>
        <v>TOPLINE SLIM WITH FRONT PLATE AND TOP GRILL</v>
      </c>
      <c r="C27" s="83"/>
      <c r="D27" s="84"/>
      <c r="E27" s="83"/>
      <c r="F27" s="83"/>
      <c r="G27" s="85"/>
      <c r="H27" s="120"/>
      <c r="I27" s="121"/>
      <c r="J27" s="121"/>
      <c r="K27" s="121"/>
      <c r="L27" s="121"/>
      <c r="M27" s="121"/>
      <c r="N27" s="121"/>
      <c r="O27" s="121"/>
      <c r="P27" s="121"/>
      <c r="Q27" s="121"/>
      <c r="R27" s="121"/>
      <c r="S27" s="121"/>
      <c r="T27" s="121"/>
      <c r="U27" s="121"/>
      <c r="V27" s="121"/>
      <c r="W27" s="121"/>
      <c r="X27" s="121"/>
      <c r="Y27" s="121"/>
      <c r="Z27" s="121"/>
    </row>
    <row r="28" spans="2:26" ht="20.100000000000001" customHeight="1" thickBot="1" x14ac:dyDescent="0.3">
      <c r="B28" s="79"/>
      <c r="C28" s="79"/>
      <c r="D28" s="80" t="str">
        <f>INDEX(KONRAD_TYPE,1,KONRAD_DATA!A15-1)&amp;" "&amp;IF($F$6=70,0,"")&amp;$F$6/10&amp;INDEX(KONRAD_TYPE,2,KONRAD_DATA!A15-1)</f>
        <v>TSXF 2802</v>
      </c>
      <c r="E28" s="81">
        <v>64</v>
      </c>
      <c r="F28" s="81">
        <f>IF(AND($G$6&gt;=KONRAD_DATA!$D$3,$G$6&lt;=KONRAD_DATA!$D$4-IF(MID(D28,2,1)="F",KONRAD_DATA!$D$6,0)),$G$6,"")</f>
        <v>1000</v>
      </c>
      <c r="G28" s="82">
        <f>IF($F28="","",ROUND(($F28/1000)*VLOOKUP($F$6,KONRAD_YDELSER,KONRAD_DATA!$A15,FALSE),0))</f>
        <v>341</v>
      </c>
    </row>
    <row r="29" spans="2:26" ht="20.100000000000001" customHeight="1" x14ac:dyDescent="0.25">
      <c r="B29" s="86"/>
      <c r="C29" s="86"/>
      <c r="D29" s="87" t="str">
        <f>INDEX(KONRAD_TYPE,1,KONRAD_DATA!A16-1)&amp;" "&amp;IF($F$6=70,0,"")&amp;$F$6/10&amp;INDEX(KONRAD_TYPE,2,KONRAD_DATA!A16-1)</f>
        <v>TSXF 2803</v>
      </c>
      <c r="E29" s="88">
        <v>118</v>
      </c>
      <c r="F29" s="88">
        <f>IF(AND($G$6&gt;=KONRAD_DATA!$D$3,$G$6&lt;=KONRAD_DATA!$D$4-IF(MID(D29,2,1)="F",KONRAD_DATA!$D$6,0)),$G$6,"")</f>
        <v>1000</v>
      </c>
      <c r="G29" s="89">
        <f>IF($F29="","",ROUND(($F29/1000)*VLOOKUP($F$6,KONRAD_YDELSER,KONRAD_DATA!$A16,FALSE),0))</f>
        <v>536</v>
      </c>
    </row>
    <row r="30" spans="2:26" ht="21" customHeight="1" thickBot="1" x14ac:dyDescent="0.3">
      <c r="B30" s="90"/>
      <c r="C30" s="90"/>
      <c r="D30" s="91"/>
      <c r="E30" s="90"/>
      <c r="F30" s="90"/>
      <c r="G30" s="92"/>
    </row>
    <row r="31" spans="2:26" ht="21" customHeight="1" thickBot="1" x14ac:dyDescent="0.3">
      <c r="B31" s="93"/>
      <c r="C31" s="93"/>
      <c r="D31" s="48" t="str">
        <f ca="1">OFFSET(SPROG!$B$41,0,SPROG!$B$2)</f>
        <v>Water carrying tube</v>
      </c>
      <c r="E31" s="46"/>
      <c r="F31" s="46"/>
      <c r="G31" s="46"/>
    </row>
    <row r="32" spans="2:26" ht="21" customHeight="1" thickBot="1" x14ac:dyDescent="0.3">
      <c r="B32" s="94"/>
      <c r="C32" s="94"/>
      <c r="D32" s="48" t="str">
        <f ca="1">OFFSET(SPROG!$B$43,0,SPROG!$B$2)</f>
        <v>Front plate</v>
      </c>
      <c r="E32" s="47"/>
      <c r="F32" s="47"/>
      <c r="G32" s="47"/>
    </row>
    <row r="33" spans="2:26" ht="21" customHeight="1" thickBot="1" x14ac:dyDescent="0.3">
      <c r="B33" s="94"/>
      <c r="C33" s="94"/>
      <c r="D33" s="48" t="str">
        <f ca="1">OFFSET(SPROG!$B$44,0,SPROG!$B$2)</f>
        <v>Grill</v>
      </c>
      <c r="E33" s="47"/>
      <c r="F33" s="47"/>
      <c r="G33" s="47"/>
      <c r="H33" s="122"/>
    </row>
    <row r="34" spans="2:26" ht="21" customHeight="1" x14ac:dyDescent="0.25">
      <c r="B34" s="95"/>
      <c r="C34" s="95"/>
      <c r="D34" s="48" t="str">
        <f ca="1">OFFSET(SPROG!$B$46,0,SPROG!$B$2)</f>
        <v>Wall</v>
      </c>
      <c r="E34" s="48"/>
      <c r="F34" s="48"/>
      <c r="G34" s="48"/>
    </row>
    <row r="35" spans="2:26" ht="21" customHeight="1" x14ac:dyDescent="0.25">
      <c r="B35" s="96"/>
      <c r="C35" s="96"/>
      <c r="D35" s="49"/>
      <c r="E35" s="49"/>
      <c r="F35" s="49"/>
      <c r="G35" s="49"/>
    </row>
    <row r="36" spans="2:26" s="98" customFormat="1" ht="20.100000000000001" customHeight="1" x14ac:dyDescent="0.25">
      <c r="B36" s="97" t="str">
        <f ca="1">OFFSET(SPROG!$B$60,0,SPROG!$B$2)</f>
        <v>Min length: 400 mm. Max. Length 6000 mm. 
Please contact MEINERTZ for special sizes and special options.</v>
      </c>
      <c r="C36" s="90"/>
      <c r="D36" s="97"/>
      <c r="E36" s="97"/>
      <c r="F36" s="97"/>
      <c r="G36" s="97"/>
      <c r="H36" s="123"/>
      <c r="I36" s="124"/>
      <c r="J36" s="124"/>
      <c r="K36" s="124"/>
      <c r="L36" s="124"/>
      <c r="M36" s="124"/>
      <c r="N36" s="124"/>
      <c r="O36" s="124"/>
      <c r="P36" s="124"/>
      <c r="Q36" s="124"/>
      <c r="R36" s="124"/>
      <c r="S36" s="124"/>
      <c r="T36" s="124"/>
      <c r="U36" s="124"/>
      <c r="V36" s="124"/>
      <c r="W36" s="124"/>
      <c r="X36" s="124"/>
      <c r="Y36" s="124"/>
      <c r="Z36" s="124"/>
    </row>
    <row r="37" spans="2:26" s="98" customFormat="1" ht="20.100000000000001" customHeight="1" x14ac:dyDescent="0.25">
      <c r="B37" s="97" t="str">
        <f ca="1">OFFSET(SPROG!$B$47,0,SPROG!$B$2)</f>
        <v>Nominal output</v>
      </c>
      <c r="C37" s="97" t="s">
        <v>20</v>
      </c>
      <c r="E37" s="99"/>
      <c r="F37" s="99"/>
      <c r="G37" s="99"/>
      <c r="H37" s="123"/>
      <c r="I37" s="124"/>
      <c r="J37" s="124"/>
      <c r="K37" s="124"/>
      <c r="L37" s="124"/>
      <c r="M37" s="124"/>
      <c r="N37" s="124"/>
      <c r="O37" s="124"/>
      <c r="P37" s="124"/>
      <c r="Q37" s="124"/>
      <c r="R37" s="124"/>
      <c r="S37" s="124"/>
      <c r="T37" s="124"/>
      <c r="U37" s="124"/>
      <c r="V37" s="124"/>
      <c r="W37" s="124"/>
      <c r="X37" s="124"/>
      <c r="Y37" s="124"/>
      <c r="Z37" s="124"/>
    </row>
    <row r="38" spans="2:26" s="98" customFormat="1" ht="20.100000000000001" customHeight="1" x14ac:dyDescent="0.25">
      <c r="B38" s="99" t="str">
        <f ca="1">OFFSET(SPROG!$B$48,0,SPROG!$B$2)</f>
        <v>Conversion factor</v>
      </c>
      <c r="C38" s="99" t="s">
        <v>180</v>
      </c>
      <c r="E38" s="99"/>
      <c r="F38" s="99"/>
      <c r="G38" s="99"/>
      <c r="H38" s="123"/>
      <c r="I38" s="124"/>
      <c r="J38" s="124"/>
      <c r="K38" s="124"/>
      <c r="L38" s="124"/>
      <c r="M38" s="124"/>
      <c r="N38" s="124"/>
      <c r="O38" s="124"/>
      <c r="P38" s="124"/>
      <c r="Q38" s="124"/>
      <c r="R38" s="124"/>
      <c r="S38" s="124"/>
      <c r="T38" s="124"/>
      <c r="U38" s="124"/>
      <c r="V38" s="124"/>
      <c r="W38" s="124"/>
      <c r="X38" s="124"/>
      <c r="Y38" s="124"/>
      <c r="Z38" s="124"/>
    </row>
    <row r="39" spans="2:26" s="98" customFormat="1" ht="39.950000000000003" customHeight="1" x14ac:dyDescent="0.25">
      <c r="B39" s="178" t="str">
        <f ca="1">OFFSET(SPROG!$B$49,0,SPROG!$B$2)</f>
        <v>The heat output calculation is informative. Reservations are made for any errors or inaccuracies in the heat output calculation. In case of non-conformity to the official data in MEINERTZ brochures and on www.meinertz.com, the official data is applicable.</v>
      </c>
      <c r="C39" s="178"/>
      <c r="D39" s="178"/>
      <c r="E39" s="178"/>
      <c r="F39" s="178"/>
      <c r="G39" s="178"/>
      <c r="H39" s="123"/>
      <c r="I39" s="124"/>
      <c r="J39" s="124"/>
      <c r="K39" s="124"/>
      <c r="L39" s="124"/>
      <c r="M39" s="124"/>
      <c r="N39" s="124"/>
      <c r="O39" s="124"/>
      <c r="P39" s="124"/>
      <c r="Q39" s="124"/>
      <c r="R39" s="124"/>
      <c r="S39" s="124"/>
      <c r="T39" s="124"/>
      <c r="U39" s="124"/>
      <c r="V39" s="124"/>
      <c r="W39" s="124"/>
      <c r="X39" s="124"/>
      <c r="Y39" s="124"/>
      <c r="Z39" s="124"/>
    </row>
  </sheetData>
  <sheetProtection algorithmName="SHA-512" hashValue="4r/ZovdL08rHkzlcZg/v6x751VNgBMa0OYOWpcCneCH55EPwfi2qLT/dah42IhPkqxWSHWfUTPa9j8WAMz00Yg==" saltValue="Ujk4IOLqSoOBN3yuK+cm+A==" spinCount="100000" sheet="1" objects="1" scenarios="1" selectLockedCells="1"/>
  <mergeCells count="1">
    <mergeCell ref="B39:G39"/>
  </mergeCells>
  <conditionalFormatting sqref="C6:F6">
    <cfRule type="expression" dxfId="0" priority="1">
      <formula>$C$6&lt;$D$6+10</formula>
    </cfRule>
  </conditionalFormatting>
  <dataValidations count="3">
    <dataValidation allowBlank="1" showInputMessage="1" showErrorMessage="1" errorTitle="Invalid value" error="Please select value from the drop-down list" sqref="B6" xr:uid="{00000000-0002-0000-0300-000000000000}"/>
    <dataValidation type="whole" allowBlank="1" showInputMessage="1" showErrorMessage="1" errorTitle="Invalid value" error="Please select value between 0 and 100" sqref="C6:E6" xr:uid="{00000000-0002-0000-0300-000002000000}">
      <formula1>0</formula1>
      <formula2>100</formula2>
    </dataValidation>
    <dataValidation type="whole" allowBlank="1" showInputMessage="1" showErrorMessage="1" errorTitle="Invalid value" error="Please select a value between 400 and 6000" sqref="G6" xr:uid="{DEE45C84-02E0-4E92-97DD-D6E82297E8E1}">
      <formula1>400</formula1>
      <formula2>6000</formula2>
    </dataValidation>
  </dataValidations>
  <printOptions horizontalCentered="1"/>
  <pageMargins left="0.59055118110236227" right="0.59055118110236227" top="1.1811023622047245" bottom="1.1811023622047245" header="0.39370078740157483" footer="0.78740157480314965"/>
  <pageSetup paperSize="9" scale="85" orientation="portrait" verticalDpi="599" r:id="rId1"/>
  <headerFooter>
    <oddHeader>&amp;R&amp;G</oddHeader>
    <oddFooter>&amp;L&amp;"Calibri,Bold"&amp;12MEINERTZ A/S&amp;"-,Regular"&amp;11
&amp;"Calibri,Regular"&amp;10Sverigesvej 11
DK-8660 Skanderborg
Denmark
Tel: +45 86521811
meinertz@meinertz.com&amp;R&amp;"Calibri,Regular"&amp;8Printed: &amp;D (&amp;T)</oddFooter>
  </headerFooter>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errorTitle="Invalid value" error="Please select value from the drop-down list" xr:uid="{00000000-0002-0000-0300-000001000000}">
          <x14:formula1>
            <xm:f>KONRAD_DATA!$C$34:$C$47</xm:f>
          </x14:formula1>
          <xm:sqref>F6</xm:sqref>
        </x14:dataValidation>
        <x14:dataValidation type="list" allowBlank="1" showInputMessage="1" showErrorMessage="1" xr:uid="{50FB6C48-6FFF-4B15-9926-9C352A9DD65C}">
          <x14:formula1>
            <xm:f>Dropdown!$A$2:$A$3</xm:f>
          </x14:formula1>
          <xm:sqref>C4</xm:sqref>
        </x14:dataValidation>
        <x14:dataValidation type="list" allowBlank="1" showInputMessage="1" showErrorMessage="1" errorTitle="Invalid value" error="Please select value between 0 and 100" xr:uid="{4DA97783-DA30-443E-A894-79C70CE56599}">
          <x14:formula1>
            <xm:f>KONRAD_DATA!$C$16:$C$29</xm:f>
          </x14:formula1>
          <xm:sqref>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6EAF-64BB-4D49-88DD-511708484E1A}">
  <dimension ref="A1:O86"/>
  <sheetViews>
    <sheetView workbookViewId="0"/>
  </sheetViews>
  <sheetFormatPr defaultRowHeight="15" x14ac:dyDescent="0.25"/>
  <cols>
    <col min="1" max="1" width="16.7109375" customWidth="1"/>
    <col min="9" max="9" width="9.5703125" bestFit="1" customWidth="1"/>
    <col min="11" max="11" width="27.7109375" customWidth="1"/>
  </cols>
  <sheetData>
    <row r="1" spans="1:9" x14ac:dyDescent="0.25">
      <c r="A1" s="171" t="s">
        <v>92</v>
      </c>
    </row>
    <row r="2" spans="1:9" ht="25.5" x14ac:dyDescent="0.25">
      <c r="A2" s="172"/>
      <c r="B2" s="158"/>
      <c r="C2" s="164" t="s">
        <v>0</v>
      </c>
      <c r="D2" s="164" t="s">
        <v>1</v>
      </c>
      <c r="E2" s="164" t="s">
        <v>2</v>
      </c>
      <c r="F2" s="164" t="s">
        <v>206</v>
      </c>
      <c r="G2" s="165" t="s">
        <v>204</v>
      </c>
      <c r="H2" s="164" t="s">
        <v>206</v>
      </c>
    </row>
    <row r="3" spans="1:9" x14ac:dyDescent="0.25">
      <c r="A3" s="125"/>
      <c r="B3" s="127"/>
      <c r="C3" s="130"/>
      <c r="D3" s="166"/>
      <c r="E3" s="130"/>
      <c r="F3" s="150" t="s">
        <v>207</v>
      </c>
      <c r="G3" s="130"/>
      <c r="H3" s="130" t="s">
        <v>205</v>
      </c>
    </row>
    <row r="4" spans="1:9" ht="15.75" thickBot="1" x14ac:dyDescent="0.3">
      <c r="A4" s="116"/>
      <c r="B4" s="169" t="s">
        <v>4</v>
      </c>
      <c r="C4" s="127">
        <v>2.5486</v>
      </c>
      <c r="D4" s="149">
        <v>1.2787999999999999</v>
      </c>
      <c r="E4" s="152">
        <f>IF('FINNED TUBE'!$F$4="A",'FINNED TUBE'!$D$4,'FINNED TUBE'!$E$4)</f>
        <v>50</v>
      </c>
      <c r="F4" s="152">
        <f t="shared" ref="F4:F11" si="0">C4*(POWER(E4,D4))</f>
        <v>379.266531833263</v>
      </c>
      <c r="G4" s="127">
        <v>1600</v>
      </c>
      <c r="H4" s="153">
        <f t="shared" ref="H4:H11" si="1">F4/(G4/1000)</f>
        <v>237.04158239578936</v>
      </c>
    </row>
    <row r="5" spans="1:9" ht="15.75" thickBot="1" x14ac:dyDescent="0.3">
      <c r="A5" s="125"/>
      <c r="B5" s="170" t="s">
        <v>5</v>
      </c>
      <c r="C5" s="127">
        <v>2.7965</v>
      </c>
      <c r="D5" s="127">
        <v>1.2786999999999999</v>
      </c>
      <c r="E5" s="152">
        <f>IF('FINNED TUBE'!$F$4="A",'FINNED TUBE'!$D$4,'FINNED TUBE'!$E$4)</f>
        <v>50</v>
      </c>
      <c r="F5" s="152">
        <f t="shared" si="0"/>
        <v>415.99467193075333</v>
      </c>
      <c r="G5" s="127">
        <v>1600</v>
      </c>
      <c r="H5" s="153">
        <f t="shared" si="1"/>
        <v>259.99666995672084</v>
      </c>
    </row>
    <row r="6" spans="1:9" ht="15.75" thickBot="1" x14ac:dyDescent="0.3">
      <c r="A6" s="125"/>
      <c r="B6" s="170" t="s">
        <v>6</v>
      </c>
      <c r="C6" s="127">
        <v>2.0994999999999999</v>
      </c>
      <c r="D6" s="127">
        <v>1.2565999999999999</v>
      </c>
      <c r="E6" s="152">
        <f>IF('FINNED TUBE'!$F$4="A",'FINNED TUBE'!$D$4,'FINNED TUBE'!$E$4)</f>
        <v>50</v>
      </c>
      <c r="F6" s="152">
        <f t="shared" si="0"/>
        <v>286.44522460565457</v>
      </c>
      <c r="G6" s="127">
        <v>1000</v>
      </c>
      <c r="H6" s="153">
        <f t="shared" si="1"/>
        <v>286.44522460565457</v>
      </c>
    </row>
    <row r="7" spans="1:9" ht="15.75" thickBot="1" x14ac:dyDescent="0.3">
      <c r="A7" s="125"/>
      <c r="B7" s="170" t="s">
        <v>7</v>
      </c>
      <c r="C7" s="127">
        <v>3.2644000000000002</v>
      </c>
      <c r="D7" s="127">
        <v>1.2419</v>
      </c>
      <c r="E7" s="152">
        <f>IF('FINNED TUBE'!$F$4="A",'FINNED TUBE'!$D$4,'FINNED TUBE'!$E$4)</f>
        <v>50</v>
      </c>
      <c r="F7" s="152">
        <f t="shared" si="0"/>
        <v>420.48859183886344</v>
      </c>
      <c r="G7" s="127">
        <v>1400</v>
      </c>
      <c r="H7" s="153">
        <f t="shared" si="1"/>
        <v>300.34899417061678</v>
      </c>
    </row>
    <row r="8" spans="1:9" ht="15.75" thickBot="1" x14ac:dyDescent="0.3">
      <c r="A8" s="125"/>
      <c r="B8" s="170" t="s">
        <v>8</v>
      </c>
      <c r="C8" s="127">
        <v>3.4300999999999999</v>
      </c>
      <c r="D8" s="153">
        <v>1.2490000000000001</v>
      </c>
      <c r="E8" s="152">
        <f>IF('FINNED TUBE'!$F$4="A",'FINNED TUBE'!$D$4,'FINNED TUBE'!$E$4)</f>
        <v>50</v>
      </c>
      <c r="F8" s="152">
        <f t="shared" si="0"/>
        <v>454.27654795217188</v>
      </c>
      <c r="G8" s="127">
        <v>1400</v>
      </c>
      <c r="H8" s="153">
        <f t="shared" si="1"/>
        <v>324.48324853726564</v>
      </c>
    </row>
    <row r="9" spans="1:9" ht="15.75" thickBot="1" x14ac:dyDescent="0.3">
      <c r="A9" s="125"/>
      <c r="B9" s="170" t="s">
        <v>9</v>
      </c>
      <c r="C9" s="127">
        <v>3.2667000000000002</v>
      </c>
      <c r="D9" s="127">
        <v>1.2431000000000001</v>
      </c>
      <c r="E9" s="152">
        <f>IF('FINNED TUBE'!$F$4="A",'FINNED TUBE'!$D$4,'FINNED TUBE'!$E$4)</f>
        <v>50</v>
      </c>
      <c r="F9" s="152">
        <f t="shared" si="0"/>
        <v>422.76484356563253</v>
      </c>
      <c r="G9" s="127">
        <v>1200</v>
      </c>
      <c r="H9" s="153">
        <f t="shared" si="1"/>
        <v>352.3040363046938</v>
      </c>
    </row>
    <row r="10" spans="1:9" ht="15.75" thickBot="1" x14ac:dyDescent="0.3">
      <c r="A10" s="125"/>
      <c r="B10" s="170" t="s">
        <v>10</v>
      </c>
      <c r="C10" s="127">
        <v>3.1674000000000002</v>
      </c>
      <c r="D10" s="153">
        <v>1.22</v>
      </c>
      <c r="E10" s="152">
        <f>IF('FINNED TUBE'!$F$4="A",'FINNED TUBE'!$D$4,'FINNED TUBE'!$E$4)</f>
        <v>50</v>
      </c>
      <c r="F10" s="152">
        <f t="shared" si="0"/>
        <v>374.49525351991605</v>
      </c>
      <c r="G10" s="127">
        <v>1000</v>
      </c>
      <c r="H10" s="153">
        <f t="shared" si="1"/>
        <v>374.49525351991605</v>
      </c>
    </row>
    <row r="11" spans="1:9" ht="15.75" thickBot="1" x14ac:dyDescent="0.3">
      <c r="A11" s="125"/>
      <c r="B11" s="170" t="s">
        <v>11</v>
      </c>
      <c r="C11" s="127">
        <v>2.7637</v>
      </c>
      <c r="D11" s="127">
        <v>1.2838000000000001</v>
      </c>
      <c r="E11" s="152">
        <f>IF('FINNED TUBE'!$F$4="A",'FINNED TUBE'!$D$4,'FINNED TUBE'!$E$4)</f>
        <v>50</v>
      </c>
      <c r="F11" s="152">
        <f t="shared" si="0"/>
        <v>419.40015835092851</v>
      </c>
      <c r="G11" s="127">
        <v>1000</v>
      </c>
      <c r="H11" s="153">
        <f t="shared" si="1"/>
        <v>419.40015835092851</v>
      </c>
    </row>
    <row r="13" spans="1:9" x14ac:dyDescent="0.25">
      <c r="A13" s="171" t="s">
        <v>88</v>
      </c>
    </row>
    <row r="14" spans="1:9" ht="25.5" x14ac:dyDescent="0.25">
      <c r="A14" s="172"/>
      <c r="B14" s="158"/>
      <c r="C14" s="165"/>
      <c r="D14" s="164" t="s">
        <v>0</v>
      </c>
      <c r="E14" s="164" t="s">
        <v>1</v>
      </c>
      <c r="F14" s="164" t="s">
        <v>2</v>
      </c>
      <c r="G14" s="164" t="s">
        <v>3</v>
      </c>
      <c r="H14" s="165" t="s">
        <v>204</v>
      </c>
      <c r="I14" s="159" t="s">
        <v>206</v>
      </c>
    </row>
    <row r="15" spans="1:9" x14ac:dyDescent="0.25">
      <c r="A15" s="125"/>
      <c r="B15" s="127"/>
      <c r="C15" s="130"/>
      <c r="D15" s="130"/>
      <c r="E15" s="166"/>
      <c r="F15" s="130"/>
      <c r="G15" s="150"/>
      <c r="H15" s="130"/>
      <c r="I15" s="127" t="s">
        <v>205</v>
      </c>
    </row>
    <row r="16" spans="1:9" ht="15.75" thickBot="1" x14ac:dyDescent="0.3">
      <c r="A16" s="169" t="s">
        <v>183</v>
      </c>
      <c r="B16" s="161">
        <f>ROUND((I16*('PLAIN TUBE'!$G$6/1000)),0)</f>
        <v>237</v>
      </c>
      <c r="C16" s="162">
        <v>0.33</v>
      </c>
      <c r="D16" s="127">
        <v>2.5486</v>
      </c>
      <c r="E16" s="149">
        <v>1.2787999999999999</v>
      </c>
      <c r="F16" s="152">
        <f>IF('PLAIN TUBE'!$F$4="A",'PLAIN TUBE'!$D$4,'PLAIN TUBE'!$E$4)</f>
        <v>50</v>
      </c>
      <c r="G16" s="152">
        <f t="shared" ref="G16:G21" si="2">D16*(POWER(F16,E16))</f>
        <v>379.266531833263</v>
      </c>
      <c r="H16" s="127">
        <v>1600</v>
      </c>
      <c r="I16" s="153">
        <f t="shared" ref="I16:I21" si="3">G16/(H16/1000)</f>
        <v>237.04158239578936</v>
      </c>
    </row>
    <row r="17" spans="1:9" ht="15.75" thickBot="1" x14ac:dyDescent="0.3">
      <c r="A17" s="170" t="s">
        <v>184</v>
      </c>
      <c r="B17" s="161">
        <f>ROUND((I17*('PLAIN TUBE'!$G$6/1000)),0)</f>
        <v>286</v>
      </c>
      <c r="C17" s="163">
        <v>0.35</v>
      </c>
      <c r="D17" s="127">
        <v>2.0994999999999999</v>
      </c>
      <c r="E17" s="127">
        <v>1.2565999999999999</v>
      </c>
      <c r="F17" s="152">
        <f>IF('PLAIN TUBE'!$F$4="A",'PLAIN TUBE'!$D$4,'PLAIN TUBE'!$E$4)</f>
        <v>50</v>
      </c>
      <c r="G17" s="152">
        <f t="shared" si="2"/>
        <v>286.44522460565457</v>
      </c>
      <c r="H17" s="127">
        <v>1000</v>
      </c>
      <c r="I17" s="153">
        <f t="shared" si="3"/>
        <v>286.44522460565457</v>
      </c>
    </row>
    <row r="18" spans="1:9" ht="15.75" thickBot="1" x14ac:dyDescent="0.3">
      <c r="A18" s="170" t="s">
        <v>185</v>
      </c>
      <c r="B18" s="161">
        <f>ROUND((I18*('PLAIN TUBE'!$G$6/1000)),0)</f>
        <v>300</v>
      </c>
      <c r="C18" s="162">
        <v>0.39</v>
      </c>
      <c r="D18" s="127">
        <v>3.2644000000000002</v>
      </c>
      <c r="E18" s="127">
        <v>1.2419</v>
      </c>
      <c r="F18" s="152">
        <f>IF('PLAIN TUBE'!$F$4="A",'PLAIN TUBE'!$D$4,'PLAIN TUBE'!$E$4)</f>
        <v>50</v>
      </c>
      <c r="G18" s="152">
        <f t="shared" si="2"/>
        <v>420.48859183886344</v>
      </c>
      <c r="H18" s="127">
        <v>1400</v>
      </c>
      <c r="I18" s="153">
        <f t="shared" si="3"/>
        <v>300.34899417061678</v>
      </c>
    </row>
    <row r="19" spans="1:9" ht="15.75" thickBot="1" x14ac:dyDescent="0.3">
      <c r="A19" s="170" t="s">
        <v>186</v>
      </c>
      <c r="B19" s="161">
        <f>ROUND((I19*('PLAIN TUBE'!$G$6/1000)),0)</f>
        <v>324</v>
      </c>
      <c r="C19" s="162">
        <v>0.4</v>
      </c>
      <c r="D19" s="127">
        <v>3.4300999999999999</v>
      </c>
      <c r="E19" s="153">
        <v>1.2490000000000001</v>
      </c>
      <c r="F19" s="152">
        <f>IF('PLAIN TUBE'!$F$4="A",'PLAIN TUBE'!$D$4,'PLAIN TUBE'!$E$4)</f>
        <v>50</v>
      </c>
      <c r="G19" s="152">
        <f t="shared" si="2"/>
        <v>454.27654795217188</v>
      </c>
      <c r="H19" s="127">
        <v>1400</v>
      </c>
      <c r="I19" s="153">
        <f t="shared" si="3"/>
        <v>324.48324853726564</v>
      </c>
    </row>
    <row r="20" spans="1:9" ht="15.75" thickBot="1" x14ac:dyDescent="0.3">
      <c r="A20" s="170" t="s">
        <v>187</v>
      </c>
      <c r="B20" s="161">
        <f>ROUND((I20*('PLAIN TUBE'!$G$6/1000)),0)</f>
        <v>374</v>
      </c>
      <c r="C20" s="162">
        <v>0.42</v>
      </c>
      <c r="D20" s="127">
        <v>3.1674000000000002</v>
      </c>
      <c r="E20" s="153">
        <v>1.22</v>
      </c>
      <c r="F20" s="152">
        <f>IF('PLAIN TUBE'!$F$4="A",'PLAIN TUBE'!$D$4,'PLAIN TUBE'!$E$4)</f>
        <v>50</v>
      </c>
      <c r="G20" s="152">
        <f t="shared" si="2"/>
        <v>374.49525351991605</v>
      </c>
      <c r="H20" s="127">
        <v>1000</v>
      </c>
      <c r="I20" s="153">
        <f t="shared" si="3"/>
        <v>374.49525351991605</v>
      </c>
    </row>
    <row r="21" spans="1:9" ht="15.75" thickBot="1" x14ac:dyDescent="0.3">
      <c r="A21" s="170" t="s">
        <v>188</v>
      </c>
      <c r="B21" s="161">
        <f>ROUND((I21*('PLAIN TUBE'!$G$6/1000)),0)</f>
        <v>419</v>
      </c>
      <c r="C21" s="162">
        <v>0.44</v>
      </c>
      <c r="D21" s="127">
        <v>2.7637</v>
      </c>
      <c r="E21" s="127">
        <v>1.2838000000000001</v>
      </c>
      <c r="F21" s="152">
        <f>IF('PLAIN TUBE'!$F$4="A",'PLAIN TUBE'!$D$4,'PLAIN TUBE'!$E$4)</f>
        <v>50</v>
      </c>
      <c r="G21" s="152">
        <f t="shared" si="2"/>
        <v>419.40015835092851</v>
      </c>
      <c r="H21" s="127">
        <v>1000</v>
      </c>
      <c r="I21" s="153">
        <f t="shared" si="3"/>
        <v>419.40015835092851</v>
      </c>
    </row>
    <row r="23" spans="1:9" x14ac:dyDescent="0.25">
      <c r="A23" s="171" t="s">
        <v>264</v>
      </c>
    </row>
    <row r="24" spans="1:9" x14ac:dyDescent="0.25">
      <c r="A24" s="127"/>
      <c r="B24" s="148" t="s">
        <v>0</v>
      </c>
      <c r="C24" s="148" t="s">
        <v>1</v>
      </c>
      <c r="D24" s="148" t="s">
        <v>2</v>
      </c>
      <c r="E24" s="148" t="s">
        <v>3</v>
      </c>
      <c r="F24" s="130" t="s">
        <v>239</v>
      </c>
    </row>
    <row r="25" spans="1:9" x14ac:dyDescent="0.25">
      <c r="A25" s="127"/>
      <c r="B25" s="130"/>
      <c r="C25" s="166"/>
      <c r="D25" s="130"/>
      <c r="E25" s="150"/>
      <c r="F25" s="130">
        <v>1.5</v>
      </c>
    </row>
    <row r="26" spans="1:9" ht="15.75" thickBot="1" x14ac:dyDescent="0.3">
      <c r="A26" s="173" t="str">
        <f>IF(SKYLINE!$F$6=70,"SL03","DSL03")</f>
        <v>SL03</v>
      </c>
      <c r="B26" s="127">
        <v>2.0491700000000002</v>
      </c>
      <c r="C26" s="149">
        <v>1.24</v>
      </c>
      <c r="D26" s="152">
        <f>IF(SKYLINE!$F$4="A",SKYLINE!$D$4,SKYLINE!$E$4)</f>
        <v>50</v>
      </c>
      <c r="E26" s="150">
        <f t="shared" ref="E26:E37" si="4">B26*(POWER(D26,C26))</f>
        <v>261.99970029472786</v>
      </c>
      <c r="F26" s="127"/>
    </row>
    <row r="27" spans="1:9" ht="15.75" thickBot="1" x14ac:dyDescent="0.3">
      <c r="A27" s="173" t="str">
        <f>IF(SKYLINE!$F$6=70,"SL04","DSL04")</f>
        <v>SL04</v>
      </c>
      <c r="B27" s="127">
        <v>2.7478400000000001</v>
      </c>
      <c r="C27" s="127">
        <v>1.2383</v>
      </c>
      <c r="D27" s="152">
        <f>IF(SKYLINE!$F$4="A",SKYLINE!$D$4,SKYLINE!$E$4)</f>
        <v>50</v>
      </c>
      <c r="E27" s="150">
        <f t="shared" si="4"/>
        <v>349.00045855880995</v>
      </c>
      <c r="F27" s="127"/>
    </row>
    <row r="28" spans="1:9" ht="15.75" thickBot="1" x14ac:dyDescent="0.3">
      <c r="A28" s="173" t="str">
        <f>IF(SKYLINE!$F$6=70,"SL05","DSL05")</f>
        <v>SL05</v>
      </c>
      <c r="B28" s="127">
        <v>3.4068399999999999</v>
      </c>
      <c r="C28" s="127">
        <v>1.2366999999999999</v>
      </c>
      <c r="D28" s="152">
        <f>IF(SKYLINE!$F$4="A",SKYLINE!$D$4,SKYLINE!$E$4)</f>
        <v>50</v>
      </c>
      <c r="E28" s="150">
        <f t="shared" si="4"/>
        <v>429.99949155311145</v>
      </c>
      <c r="F28" s="127"/>
    </row>
    <row r="29" spans="1:9" ht="15.75" thickBot="1" x14ac:dyDescent="0.3">
      <c r="A29" s="173" t="str">
        <f>IF(SKYLINE!$F$6=70,"SL06","DSL06")</f>
        <v>SL06</v>
      </c>
      <c r="B29" s="127">
        <v>4.05966</v>
      </c>
      <c r="C29" s="153">
        <v>1.2350000000000001</v>
      </c>
      <c r="D29" s="152">
        <f>IF(SKYLINE!$F$4="A",SKYLINE!$D$4,SKYLINE!$E$4)</f>
        <v>50</v>
      </c>
      <c r="E29" s="150">
        <f t="shared" si="4"/>
        <v>508.99980730169858</v>
      </c>
      <c r="F29" s="127"/>
    </row>
    <row r="30" spans="1:9" ht="15.75" thickBot="1" x14ac:dyDescent="0.3">
      <c r="A30" s="173" t="str">
        <f>IF(SKYLINE!$F$6=70,"SL07","DSL07")</f>
        <v>SL07</v>
      </c>
      <c r="B30" s="127">
        <v>4.6951200000000002</v>
      </c>
      <c r="C30" s="153">
        <v>1.2334000000000001</v>
      </c>
      <c r="D30" s="152">
        <f>IF(SKYLINE!$F$4="A",SKYLINE!$D$4,SKYLINE!$E$4)</f>
        <v>50</v>
      </c>
      <c r="E30" s="150">
        <f t="shared" si="4"/>
        <v>585.00058447510719</v>
      </c>
      <c r="F30" s="127"/>
    </row>
    <row r="31" spans="1:9" ht="15.75" thickBot="1" x14ac:dyDescent="0.3">
      <c r="A31" s="173" t="str">
        <f>IF(SKYLINE!$F$6=70,"SL08","DSL08")</f>
        <v>SL08</v>
      </c>
      <c r="B31" s="127">
        <v>5.3243200000000002</v>
      </c>
      <c r="C31" s="127">
        <v>1.2317</v>
      </c>
      <c r="D31" s="152">
        <f>IF(SKYLINE!$F$4="A",SKYLINE!$D$4,SKYLINE!$E$4)</f>
        <v>50</v>
      </c>
      <c r="E31" s="150">
        <f t="shared" si="4"/>
        <v>659.00013522288214</v>
      </c>
      <c r="F31" s="127"/>
    </row>
    <row r="32" spans="1:9" ht="15.75" thickBot="1" x14ac:dyDescent="0.3">
      <c r="A32" s="173" t="str">
        <f>IF(SKYLINE!$F$6=70,"SL09","DSL09")</f>
        <v>SL09</v>
      </c>
      <c r="B32" s="154">
        <v>5.9176000000000002</v>
      </c>
      <c r="C32" s="153">
        <v>1.2312000000000001</v>
      </c>
      <c r="D32" s="152">
        <f>IF(SKYLINE!$F$4="A",SKYLINE!$D$4,SKYLINE!$E$4)</f>
        <v>50</v>
      </c>
      <c r="E32" s="150">
        <f t="shared" si="4"/>
        <v>731.00016507800296</v>
      </c>
      <c r="F32" s="127"/>
    </row>
    <row r="33" spans="1:6" ht="15.75" thickBot="1" x14ac:dyDescent="0.3">
      <c r="A33" s="173" t="str">
        <f>IF(SKYLINE!$F$6=70,"SL10","DSL10")</f>
        <v>SL10</v>
      </c>
      <c r="B33" s="127">
        <v>6.4969599999999996</v>
      </c>
      <c r="C33" s="153">
        <v>1.2306999999999999</v>
      </c>
      <c r="D33" s="152">
        <f>IF(SKYLINE!$F$4="A",SKYLINE!$D$4,SKYLINE!$E$4)</f>
        <v>50</v>
      </c>
      <c r="E33" s="150">
        <f t="shared" si="4"/>
        <v>801.00011286395068</v>
      </c>
      <c r="F33" s="127"/>
    </row>
    <row r="34" spans="1:6" ht="15.75" thickBot="1" x14ac:dyDescent="0.3">
      <c r="A34" s="173" t="str">
        <f>IF(SKYLINE!$F$6=70,"SL11","DSL11")</f>
        <v>SL11</v>
      </c>
      <c r="B34" s="127">
        <v>7.0676699999999997</v>
      </c>
      <c r="C34" s="153">
        <v>1.2302999999999999</v>
      </c>
      <c r="D34" s="152">
        <f>IF(SKYLINE!$F$4="A",SKYLINE!$D$4,SKYLINE!$E$4)</f>
        <v>50</v>
      </c>
      <c r="E34" s="150">
        <f t="shared" si="4"/>
        <v>869.99961371415543</v>
      </c>
      <c r="F34" s="127"/>
    </row>
    <row r="35" spans="1:6" ht="15.75" thickBot="1" x14ac:dyDescent="0.3">
      <c r="A35" s="173" t="str">
        <f>IF(SKYLINE!$F$6=70,"SL12","DSL12")</f>
        <v>SL12</v>
      </c>
      <c r="B35" s="127">
        <v>7.6268700000000003</v>
      </c>
      <c r="C35" s="153">
        <v>1.2298</v>
      </c>
      <c r="D35" s="152">
        <f>IF(SKYLINE!$F$4="A",SKYLINE!$D$4,SKYLINE!$E$4)</f>
        <v>50</v>
      </c>
      <c r="E35" s="150">
        <f t="shared" si="4"/>
        <v>937.00013883002168</v>
      </c>
      <c r="F35" s="127"/>
    </row>
    <row r="36" spans="1:6" ht="15.75" thickBot="1" x14ac:dyDescent="0.3">
      <c r="A36" s="173" t="str">
        <f>IF(SKYLINE!$F$6=70,"SL13","DSL13")</f>
        <v>SL13</v>
      </c>
      <c r="B36" s="127">
        <v>8.1800700000000006</v>
      </c>
      <c r="C36" s="153">
        <v>1.2293000000000001</v>
      </c>
      <c r="D36" s="152">
        <f>IF(SKYLINE!$F$4="A",SKYLINE!$D$4,SKYLINE!$E$4)</f>
        <v>50</v>
      </c>
      <c r="E36" s="150">
        <f t="shared" si="4"/>
        <v>1002.9998000480964</v>
      </c>
      <c r="F36" s="127"/>
    </row>
    <row r="37" spans="1:6" ht="15.75" thickBot="1" x14ac:dyDescent="0.3">
      <c r="A37" s="173" t="str">
        <f>IF(SKYLINE!$F$6=70,"SL14","DSL14")</f>
        <v>SL14</v>
      </c>
      <c r="B37" s="127">
        <v>8.7272400000000001</v>
      </c>
      <c r="C37" s="153">
        <v>1.2287999999999999</v>
      </c>
      <c r="D37" s="152">
        <f>IF(SKYLINE!$F$4="A",SKYLINE!$D$4,SKYLINE!$E$4)</f>
        <v>50</v>
      </c>
      <c r="E37" s="150">
        <f t="shared" si="4"/>
        <v>1068.0000194508434</v>
      </c>
      <c r="F37" s="127"/>
    </row>
    <row r="39" spans="1:6" x14ac:dyDescent="0.25">
      <c r="A39" s="171" t="s">
        <v>265</v>
      </c>
    </row>
    <row r="40" spans="1:6" x14ac:dyDescent="0.25">
      <c r="A40" s="127"/>
      <c r="B40" s="148" t="s">
        <v>0</v>
      </c>
      <c r="C40" s="148" t="s">
        <v>1</v>
      </c>
      <c r="D40" s="148" t="s">
        <v>2</v>
      </c>
      <c r="E40" s="148" t="s">
        <v>3</v>
      </c>
    </row>
    <row r="41" spans="1:6" ht="15.75" thickBot="1" x14ac:dyDescent="0.3">
      <c r="A41" s="173" t="s">
        <v>191</v>
      </c>
      <c r="B41" s="127">
        <v>2.0491700000000002</v>
      </c>
      <c r="C41" s="149">
        <v>1.24</v>
      </c>
      <c r="D41" s="152">
        <f>IF('SKYLINE PLINT'!$F$4="A",'SKYLINE PLINT'!$D$4,'SKYLINE PLINT'!$E$4)</f>
        <v>50</v>
      </c>
      <c r="E41" s="150">
        <f t="shared" ref="E41:E52" si="5">B41*(POWER(D41,C41))</f>
        <v>261.99970029472786</v>
      </c>
    </row>
    <row r="42" spans="1:6" ht="15.75" thickBot="1" x14ac:dyDescent="0.3">
      <c r="A42" s="173" t="s">
        <v>192</v>
      </c>
      <c r="B42" s="127">
        <v>2.7478400000000001</v>
      </c>
      <c r="C42" s="127">
        <v>1.2383</v>
      </c>
      <c r="D42" s="152">
        <f>IF('SKYLINE PLINT'!$F$4="A",'SKYLINE PLINT'!$D$4,'SKYLINE PLINT'!$E$4)</f>
        <v>50</v>
      </c>
      <c r="E42" s="150">
        <f t="shared" si="5"/>
        <v>349.00045855880995</v>
      </c>
    </row>
    <row r="43" spans="1:6" ht="15.75" thickBot="1" x14ac:dyDescent="0.3">
      <c r="A43" s="173" t="s">
        <v>193</v>
      </c>
      <c r="B43" s="127">
        <v>3.4068399999999999</v>
      </c>
      <c r="C43" s="127">
        <v>1.2366999999999999</v>
      </c>
      <c r="D43" s="152">
        <f>IF('SKYLINE PLINT'!$F$4="A",'SKYLINE PLINT'!$D$4,'SKYLINE PLINT'!$E$4)</f>
        <v>50</v>
      </c>
      <c r="E43" s="150">
        <f t="shared" si="5"/>
        <v>429.99949155311145</v>
      </c>
    </row>
    <row r="44" spans="1:6" ht="15.75" thickBot="1" x14ac:dyDescent="0.3">
      <c r="A44" s="173" t="s">
        <v>194</v>
      </c>
      <c r="B44" s="127">
        <v>4.05966</v>
      </c>
      <c r="C44" s="153">
        <v>1.2350000000000001</v>
      </c>
      <c r="D44" s="152">
        <f>IF('SKYLINE PLINT'!$F$4="A",'SKYLINE PLINT'!$D$4,'SKYLINE PLINT'!$E$4)</f>
        <v>50</v>
      </c>
      <c r="E44" s="150">
        <f t="shared" si="5"/>
        <v>508.99980730169858</v>
      </c>
    </row>
    <row r="45" spans="1:6" ht="15.75" thickBot="1" x14ac:dyDescent="0.3">
      <c r="A45" s="173" t="s">
        <v>195</v>
      </c>
      <c r="B45" s="127">
        <v>4.6951200000000002</v>
      </c>
      <c r="C45" s="153">
        <v>1.2334000000000001</v>
      </c>
      <c r="D45" s="152">
        <f>IF('SKYLINE PLINT'!$F$4="A",'SKYLINE PLINT'!$D$4,'SKYLINE PLINT'!$E$4)</f>
        <v>50</v>
      </c>
      <c r="E45" s="150">
        <f t="shared" si="5"/>
        <v>585.00058447510719</v>
      </c>
    </row>
    <row r="46" spans="1:6" ht="15.75" thickBot="1" x14ac:dyDescent="0.3">
      <c r="A46" s="173" t="s">
        <v>196</v>
      </c>
      <c r="B46" s="127">
        <v>5.3243200000000002</v>
      </c>
      <c r="C46" s="127">
        <v>1.2317</v>
      </c>
      <c r="D46" s="152">
        <f>IF('SKYLINE PLINT'!$F$4="A",'SKYLINE PLINT'!$D$4,'SKYLINE PLINT'!$E$4)</f>
        <v>50</v>
      </c>
      <c r="E46" s="150">
        <f t="shared" si="5"/>
        <v>659.00013522288214</v>
      </c>
    </row>
    <row r="47" spans="1:6" ht="15.75" thickBot="1" x14ac:dyDescent="0.3">
      <c r="A47" s="173" t="s">
        <v>197</v>
      </c>
      <c r="B47" s="154">
        <v>5.9176000000000002</v>
      </c>
      <c r="C47" s="153">
        <v>1.2312000000000001</v>
      </c>
      <c r="D47" s="152">
        <f>IF('SKYLINE PLINT'!$F$4="A",'SKYLINE PLINT'!$D$4,'SKYLINE PLINT'!$E$4)</f>
        <v>50</v>
      </c>
      <c r="E47" s="150">
        <f t="shared" si="5"/>
        <v>731.00016507800296</v>
      </c>
    </row>
    <row r="48" spans="1:6" ht="15.75" thickBot="1" x14ac:dyDescent="0.3">
      <c r="A48" s="173" t="s">
        <v>198</v>
      </c>
      <c r="B48" s="127">
        <v>6.4969599999999996</v>
      </c>
      <c r="C48" s="153">
        <v>1.2306999999999999</v>
      </c>
      <c r="D48" s="152">
        <f>IF('SKYLINE PLINT'!$F$4="A",'SKYLINE PLINT'!$D$4,'SKYLINE PLINT'!$E$4)</f>
        <v>50</v>
      </c>
      <c r="E48" s="150">
        <f t="shared" si="5"/>
        <v>801.00011286395068</v>
      </c>
    </row>
    <row r="49" spans="1:8" ht="15.75" thickBot="1" x14ac:dyDescent="0.3">
      <c r="A49" s="173" t="s">
        <v>199</v>
      </c>
      <c r="B49" s="127">
        <v>7.0676699999999997</v>
      </c>
      <c r="C49" s="153">
        <v>1.2302999999999999</v>
      </c>
      <c r="D49" s="152">
        <f>IF('SKYLINE PLINT'!$F$4="A",'SKYLINE PLINT'!$D$4,'SKYLINE PLINT'!$E$4)</f>
        <v>50</v>
      </c>
      <c r="E49" s="150">
        <f t="shared" si="5"/>
        <v>869.99961371415543</v>
      </c>
    </row>
    <row r="50" spans="1:8" ht="15.75" thickBot="1" x14ac:dyDescent="0.3">
      <c r="A50" s="173" t="s">
        <v>200</v>
      </c>
      <c r="B50" s="127">
        <v>7.6268700000000003</v>
      </c>
      <c r="C50" s="153">
        <v>1.2298</v>
      </c>
      <c r="D50" s="152">
        <f>IF('SKYLINE PLINT'!$F$4="A",'SKYLINE PLINT'!$D$4,'SKYLINE PLINT'!$E$4)</f>
        <v>50</v>
      </c>
      <c r="E50" s="150">
        <f t="shared" si="5"/>
        <v>937.00013883002168</v>
      </c>
    </row>
    <row r="51" spans="1:8" ht="15.75" thickBot="1" x14ac:dyDescent="0.3">
      <c r="A51" s="173" t="s">
        <v>201</v>
      </c>
      <c r="B51" s="127">
        <v>8.1800700000000006</v>
      </c>
      <c r="C51" s="153">
        <v>1.2293000000000001</v>
      </c>
      <c r="D51" s="152">
        <f>IF('SKYLINE PLINT'!$F$4="A",'SKYLINE PLINT'!$D$4,'SKYLINE PLINT'!$E$4)</f>
        <v>50</v>
      </c>
      <c r="E51" s="150">
        <f t="shared" si="5"/>
        <v>1002.9998000480964</v>
      </c>
    </row>
    <row r="52" spans="1:8" ht="15.75" thickBot="1" x14ac:dyDescent="0.3">
      <c r="A52" s="173" t="s">
        <v>202</v>
      </c>
      <c r="B52" s="127">
        <v>8.7272400000000001</v>
      </c>
      <c r="C52" s="153">
        <v>1.2287999999999999</v>
      </c>
      <c r="D52" s="152">
        <f>IF('SKYLINE PLINT'!$F$4="A",'SKYLINE PLINT'!$D$4,'SKYLINE PLINT'!$E$4)</f>
        <v>50</v>
      </c>
      <c r="E52" s="150">
        <f t="shared" si="5"/>
        <v>1068.0000194508434</v>
      </c>
    </row>
    <row r="54" spans="1:8" x14ac:dyDescent="0.25">
      <c r="A54" s="171" t="s">
        <v>260</v>
      </c>
    </row>
    <row r="55" spans="1:8" x14ac:dyDescent="0.25">
      <c r="A55" s="127"/>
      <c r="B55" s="148" t="s">
        <v>0</v>
      </c>
      <c r="C55" s="148" t="s">
        <v>1</v>
      </c>
      <c r="D55" s="148" t="s">
        <v>2</v>
      </c>
      <c r="E55" s="148" t="s">
        <v>3</v>
      </c>
      <c r="F55" s="130"/>
      <c r="G55" s="130" t="s">
        <v>225</v>
      </c>
      <c r="H55" s="125"/>
    </row>
    <row r="56" spans="1:8" x14ac:dyDescent="0.25">
      <c r="A56" s="127"/>
      <c r="B56" s="130"/>
      <c r="C56" s="166"/>
      <c r="D56" s="130"/>
      <c r="E56" s="150"/>
      <c r="F56" s="130"/>
      <c r="G56" s="130">
        <v>200</v>
      </c>
      <c r="H56" s="125" t="s">
        <v>226</v>
      </c>
    </row>
    <row r="57" spans="1:8" ht="15.75" thickBot="1" x14ac:dyDescent="0.3">
      <c r="A57" s="173" t="s">
        <v>227</v>
      </c>
      <c r="B57" s="127">
        <v>2.11239</v>
      </c>
      <c r="C57" s="149">
        <v>1.2282999999999999</v>
      </c>
      <c r="D57" s="152">
        <f>IF('L-LINE'!$F$4="A",'L-LINE'!$D$4,'L-LINE'!$E$4)</f>
        <v>50</v>
      </c>
      <c r="E57" s="150">
        <f t="shared" ref="E57:E68" si="6">B57*(POWER(D57,C57))</f>
        <v>257.99955637797461</v>
      </c>
      <c r="F57" s="127"/>
      <c r="G57" s="127"/>
      <c r="H57" s="125"/>
    </row>
    <row r="58" spans="1:8" ht="15.75" thickBot="1" x14ac:dyDescent="0.3">
      <c r="A58" s="173" t="s">
        <v>228</v>
      </c>
      <c r="B58" s="127">
        <v>2.7718099999999999</v>
      </c>
      <c r="C58" s="127">
        <v>1.2309000000000001</v>
      </c>
      <c r="D58" s="152">
        <f>IF('L-LINE'!$F$4="A",'L-LINE'!$D$4,'L-LINE'!$E$4)</f>
        <v>50</v>
      </c>
      <c r="E58" s="150">
        <f t="shared" si="6"/>
        <v>341.99962952147263</v>
      </c>
      <c r="F58" s="127"/>
      <c r="G58" s="127"/>
      <c r="H58" s="125"/>
    </row>
    <row r="59" spans="1:8" ht="15.75" thickBot="1" x14ac:dyDescent="0.3">
      <c r="A59" s="173" t="s">
        <v>229</v>
      </c>
      <c r="B59" s="127">
        <v>3.4016199999999999</v>
      </c>
      <c r="C59" s="127">
        <v>1.2335</v>
      </c>
      <c r="D59" s="152">
        <f>IF('L-LINE'!$F$4="A",'L-LINE'!$D$4,'L-LINE'!$E$4)</f>
        <v>50</v>
      </c>
      <c r="E59" s="150">
        <f t="shared" si="6"/>
        <v>423.99945333628108</v>
      </c>
      <c r="F59" s="127"/>
      <c r="G59" s="127"/>
      <c r="H59" s="125"/>
    </row>
    <row r="60" spans="1:8" ht="15.75" thickBot="1" x14ac:dyDescent="0.3">
      <c r="A60" s="173" t="s">
        <v>230</v>
      </c>
      <c r="B60" s="127">
        <v>3.9882</v>
      </c>
      <c r="C60" s="153">
        <v>1.236</v>
      </c>
      <c r="D60" s="152">
        <f>IF('L-LINE'!$F$4="A",'L-LINE'!$D$4,'L-LINE'!$E$4)</f>
        <v>50</v>
      </c>
      <c r="E60" s="150">
        <f t="shared" si="6"/>
        <v>502.00015878810365</v>
      </c>
      <c r="F60" s="127"/>
      <c r="G60" s="127"/>
      <c r="H60" s="125"/>
    </row>
    <row r="61" spans="1:8" ht="15.75" thickBot="1" x14ac:dyDescent="0.3">
      <c r="A61" s="173" t="s">
        <v>231</v>
      </c>
      <c r="B61" s="127">
        <v>4.5612500000000002</v>
      </c>
      <c r="C61" s="153">
        <v>1.2385999999999999</v>
      </c>
      <c r="D61" s="152">
        <f>IF('L-LINE'!$F$4="A",'L-LINE'!$D$4,'L-LINE'!$E$4)</f>
        <v>50</v>
      </c>
      <c r="E61" s="150">
        <f t="shared" si="6"/>
        <v>580.00017385581305</v>
      </c>
      <c r="F61" s="127"/>
      <c r="G61" s="127"/>
      <c r="H61" s="125"/>
    </row>
    <row r="62" spans="1:8" ht="15.75" thickBot="1" x14ac:dyDescent="0.3">
      <c r="A62" s="173" t="s">
        <v>232</v>
      </c>
      <c r="B62" s="127">
        <v>5.1222899999999996</v>
      </c>
      <c r="C62" s="127">
        <v>1.2412000000000001</v>
      </c>
      <c r="D62" s="152">
        <f>IF('L-LINE'!$F$4="A",'L-LINE'!$D$4,'L-LINE'!$E$4)</f>
        <v>50</v>
      </c>
      <c r="E62" s="150">
        <f t="shared" si="6"/>
        <v>657.99975502339475</v>
      </c>
      <c r="F62" s="127"/>
      <c r="G62" s="127"/>
      <c r="H62" s="125"/>
    </row>
    <row r="63" spans="1:8" ht="15.75" thickBot="1" x14ac:dyDescent="0.3">
      <c r="A63" s="173" t="s">
        <v>233</v>
      </c>
      <c r="B63" s="154">
        <v>5.7105300000000003</v>
      </c>
      <c r="C63" s="153">
        <v>1.2417</v>
      </c>
      <c r="D63" s="152">
        <f>IF('L-LINE'!$F$4="A",'L-LINE'!$D$4,'L-LINE'!$E$4)</f>
        <v>50</v>
      </c>
      <c r="E63" s="150">
        <f t="shared" si="6"/>
        <v>735.00022461783374</v>
      </c>
      <c r="F63" s="127"/>
      <c r="G63" s="127"/>
      <c r="H63" s="125"/>
    </row>
    <row r="64" spans="1:8" ht="15.75" thickBot="1" x14ac:dyDescent="0.3">
      <c r="A64" s="173" t="s">
        <v>234</v>
      </c>
      <c r="B64" s="127">
        <v>6.2989100000000002</v>
      </c>
      <c r="C64" s="153">
        <v>1.2421</v>
      </c>
      <c r="D64" s="152">
        <f>IF('L-LINE'!$F$4="A",'L-LINE'!$D$4,'L-LINE'!$E$4)</f>
        <v>50</v>
      </c>
      <c r="E64" s="150">
        <f t="shared" si="6"/>
        <v>812.00003039813032</v>
      </c>
      <c r="F64" s="127"/>
      <c r="G64" s="127"/>
      <c r="H64" s="125"/>
    </row>
    <row r="65" spans="1:15" ht="15.75" thickBot="1" x14ac:dyDescent="0.3">
      <c r="A65" s="173" t="s">
        <v>235</v>
      </c>
      <c r="B65" s="127">
        <v>6.8904899999999998</v>
      </c>
      <c r="C65" s="153">
        <v>1.2425999999999999</v>
      </c>
      <c r="D65" s="152">
        <f>IF('L-LINE'!$F$4="A",'L-LINE'!$D$4,'L-LINE'!$E$4)</f>
        <v>50</v>
      </c>
      <c r="E65" s="150">
        <f t="shared" si="6"/>
        <v>890.00046625095956</v>
      </c>
      <c r="F65" s="127"/>
      <c r="G65" s="127"/>
      <c r="H65" s="125"/>
    </row>
    <row r="66" spans="1:15" ht="15.75" thickBot="1" x14ac:dyDescent="0.3">
      <c r="A66" s="173" t="s">
        <v>236</v>
      </c>
      <c r="B66" s="127">
        <v>7.49038</v>
      </c>
      <c r="C66" s="153">
        <v>1.2430000000000001</v>
      </c>
      <c r="D66" s="152">
        <f>IF('L-LINE'!$F$4="A",'L-LINE'!$D$4,'L-LINE'!$E$4)</f>
        <v>50</v>
      </c>
      <c r="E66" s="150">
        <f t="shared" si="6"/>
        <v>968.99952946439555</v>
      </c>
      <c r="F66" s="127"/>
      <c r="G66" s="127"/>
      <c r="H66" s="125"/>
    </row>
    <row r="67" spans="1:15" ht="15.75" thickBot="1" x14ac:dyDescent="0.3">
      <c r="A67" s="173" t="s">
        <v>237</v>
      </c>
      <c r="B67" s="127">
        <v>8.0929400000000005</v>
      </c>
      <c r="C67" s="153">
        <v>1.2435</v>
      </c>
      <c r="D67" s="152">
        <f>IF('L-LINE'!$F$4="A",'L-LINE'!$D$4,'L-LINE'!$E$4)</f>
        <v>50</v>
      </c>
      <c r="E67" s="150">
        <f t="shared" si="6"/>
        <v>1049.0000792260187</v>
      </c>
      <c r="F67" s="127"/>
      <c r="G67" s="127"/>
      <c r="H67" s="125"/>
    </row>
    <row r="68" spans="1:15" ht="15.75" thickBot="1" x14ac:dyDescent="0.3">
      <c r="A68" s="173" t="s">
        <v>238</v>
      </c>
      <c r="B68" s="127">
        <v>8.69651</v>
      </c>
      <c r="C68" s="153">
        <v>1.2439</v>
      </c>
      <c r="D68" s="152">
        <f>IF('L-LINE'!$F$4="A",'L-LINE'!$D$4,'L-LINE'!$E$4)</f>
        <v>50</v>
      </c>
      <c r="E68" s="150">
        <f t="shared" si="6"/>
        <v>1128.9996026549602</v>
      </c>
      <c r="F68" s="127"/>
      <c r="G68" s="127"/>
      <c r="H68" s="125"/>
    </row>
    <row r="70" spans="1:15" x14ac:dyDescent="0.25">
      <c r="A70" s="171" t="s">
        <v>77</v>
      </c>
    </row>
    <row r="71" spans="1:15" x14ac:dyDescent="0.25">
      <c r="A71" s="125"/>
      <c r="B71" s="125"/>
      <c r="C71" s="125"/>
      <c r="D71" s="125"/>
      <c r="E71" s="125"/>
      <c r="F71" s="126"/>
      <c r="G71" s="125"/>
      <c r="H71" s="125"/>
      <c r="I71" s="125"/>
      <c r="J71" s="125"/>
      <c r="K71" s="125"/>
      <c r="L71" s="127"/>
      <c r="M71" s="127"/>
      <c r="N71" s="127"/>
      <c r="O71" s="127"/>
    </row>
    <row r="72" spans="1:15" x14ac:dyDescent="0.25">
      <c r="A72" s="125"/>
      <c r="B72" s="128" t="s">
        <v>0</v>
      </c>
      <c r="C72" s="128" t="s">
        <v>1</v>
      </c>
      <c r="D72" s="128" t="s">
        <v>2</v>
      </c>
      <c r="E72" s="128" t="s">
        <v>204</v>
      </c>
      <c r="F72" s="128" t="s">
        <v>3</v>
      </c>
      <c r="G72" s="128" t="s">
        <v>3</v>
      </c>
      <c r="H72" s="126"/>
      <c r="I72" s="125"/>
      <c r="J72" s="125"/>
      <c r="K72" s="125"/>
      <c r="L72" s="129"/>
      <c r="M72" s="130" t="s">
        <v>221</v>
      </c>
      <c r="N72" s="127"/>
      <c r="O72" s="127"/>
    </row>
    <row r="73" spans="1:15" x14ac:dyDescent="0.25">
      <c r="A73" s="125"/>
      <c r="B73" s="125"/>
      <c r="C73" s="168"/>
      <c r="D73" s="126"/>
      <c r="E73" s="126"/>
      <c r="F73" s="132"/>
      <c r="G73" s="128" t="s">
        <v>205</v>
      </c>
      <c r="H73" s="126"/>
      <c r="I73" s="125"/>
      <c r="J73" s="125"/>
      <c r="K73" s="125"/>
      <c r="L73" s="129"/>
      <c r="M73" s="127"/>
      <c r="N73" s="127"/>
      <c r="O73" s="127"/>
    </row>
    <row r="74" spans="1:15" ht="15.75" thickBot="1" x14ac:dyDescent="0.3">
      <c r="A74" s="76" t="s">
        <v>208</v>
      </c>
      <c r="B74" s="134">
        <v>1.409</v>
      </c>
      <c r="C74" s="131">
        <v>1.4683999999999999</v>
      </c>
      <c r="D74" s="133">
        <f>IF(PROLINE!$F$4="A",PROLINE!$D$4,PROLINE!$E$4)</f>
        <v>49.83</v>
      </c>
      <c r="E74" s="116">
        <v>2000</v>
      </c>
      <c r="F74" s="132">
        <f t="shared" ref="F74:F85" si="7">B74*(POWER(D74,C74))</f>
        <v>438.03277986391907</v>
      </c>
      <c r="G74" s="125">
        <f t="shared" ref="G74:G85" si="8">F74/(E74/1000)</f>
        <v>219.01638993195954</v>
      </c>
      <c r="H74" s="125">
        <v>440</v>
      </c>
      <c r="I74" s="125"/>
      <c r="J74" s="125"/>
      <c r="K74" s="125"/>
      <c r="L74" s="129">
        <v>100</v>
      </c>
      <c r="M74" s="127" t="s">
        <v>222</v>
      </c>
      <c r="N74" s="127">
        <v>762</v>
      </c>
      <c r="O74" s="135">
        <v>0</v>
      </c>
    </row>
    <row r="75" spans="1:15" ht="15.75" thickBot="1" x14ac:dyDescent="0.3">
      <c r="A75" s="76" t="s">
        <v>209</v>
      </c>
      <c r="B75" s="136">
        <v>3.8507413934073091</v>
      </c>
      <c r="C75" s="137">
        <v>1.272</v>
      </c>
      <c r="D75" s="133">
        <f>IF(PROLINE!$F$4="A",PROLINE!$D$4,PROLINE!$E$4)</f>
        <v>49.83</v>
      </c>
      <c r="E75" s="138">
        <v>2000</v>
      </c>
      <c r="F75" s="139">
        <f t="shared" si="7"/>
        <v>555.5878784034677</v>
      </c>
      <c r="G75" s="125">
        <f t="shared" si="8"/>
        <v>277.79393920173385</v>
      </c>
      <c r="H75" s="125">
        <v>558</v>
      </c>
      <c r="I75" s="140">
        <f>H75/(POWER(D75,C75))</f>
        <v>3.8674596423806129</v>
      </c>
      <c r="J75" s="125" t="s">
        <v>266</v>
      </c>
      <c r="K75" s="125"/>
      <c r="L75" s="129">
        <v>120</v>
      </c>
      <c r="M75" s="127" t="s">
        <v>222</v>
      </c>
      <c r="N75" s="127">
        <v>837</v>
      </c>
      <c r="O75" s="141">
        <f>ROUND((N75/$N$74)-1,2)</f>
        <v>0.1</v>
      </c>
    </row>
    <row r="76" spans="1:15" ht="15.75" thickBot="1" x14ac:dyDescent="0.3">
      <c r="A76" s="76" t="s">
        <v>210</v>
      </c>
      <c r="B76" s="134">
        <v>11.333600000000001</v>
      </c>
      <c r="C76" s="131">
        <v>1.0754999999999999</v>
      </c>
      <c r="D76" s="133">
        <f>IF(PROLINE!$F$4="A",PROLINE!$D$4,PROLINE!$E$4)</f>
        <v>49.83</v>
      </c>
      <c r="E76" s="142">
        <v>2300</v>
      </c>
      <c r="F76" s="132">
        <f t="shared" si="7"/>
        <v>758.61133937178317</v>
      </c>
      <c r="G76" s="125">
        <f t="shared" si="8"/>
        <v>329.83101711816664</v>
      </c>
      <c r="H76" s="125">
        <v>761</v>
      </c>
      <c r="I76" s="125"/>
      <c r="J76" s="125"/>
      <c r="K76" s="125"/>
      <c r="L76" s="129">
        <v>150</v>
      </c>
      <c r="M76" s="127" t="s">
        <v>222</v>
      </c>
      <c r="N76" s="127">
        <v>935</v>
      </c>
      <c r="O76" s="141">
        <f>ROUND((N76/$N$74)-1,2)</f>
        <v>0.23</v>
      </c>
    </row>
    <row r="77" spans="1:15" ht="15.75" thickBot="1" x14ac:dyDescent="0.3">
      <c r="A77" s="76" t="s">
        <v>211</v>
      </c>
      <c r="B77" s="136">
        <v>7.7476495519762105</v>
      </c>
      <c r="C77" s="137">
        <v>1.1698999999999999</v>
      </c>
      <c r="D77" s="133">
        <f>IF(PROLINE!$F$4="A",PROLINE!$D$4,PROLINE!$E$4)</f>
        <v>49.83</v>
      </c>
      <c r="E77" s="138">
        <v>2000</v>
      </c>
      <c r="F77" s="139">
        <f t="shared" si="7"/>
        <v>750.00568793239063</v>
      </c>
      <c r="G77" s="125">
        <f t="shared" si="8"/>
        <v>375.00284396619531</v>
      </c>
      <c r="H77" s="125">
        <v>753</v>
      </c>
      <c r="I77" s="140">
        <f>H77/(POWER(D77,C77))</f>
        <v>7.7785811581258191</v>
      </c>
      <c r="J77" s="125" t="s">
        <v>266</v>
      </c>
      <c r="K77" s="125"/>
      <c r="L77" s="129">
        <v>180</v>
      </c>
      <c r="M77" s="127" t="s">
        <v>222</v>
      </c>
      <c r="N77" s="127">
        <v>990</v>
      </c>
      <c r="O77" s="141">
        <f>ROUND((N77/$N$74)-1,2)</f>
        <v>0.3</v>
      </c>
    </row>
    <row r="78" spans="1:15" ht="15.75" thickBot="1" x14ac:dyDescent="0.3">
      <c r="A78" s="76" t="s">
        <v>212</v>
      </c>
      <c r="B78" s="134">
        <v>5.9089999999999998</v>
      </c>
      <c r="C78" s="131">
        <v>1.2643</v>
      </c>
      <c r="D78" s="133">
        <f>IF(PROLINE!$F$4="A",PROLINE!$D$4,PROLINE!$E$4)</f>
        <v>49.83</v>
      </c>
      <c r="E78" s="116">
        <v>2000</v>
      </c>
      <c r="F78" s="132">
        <f t="shared" si="7"/>
        <v>827.27846373357613</v>
      </c>
      <c r="G78" s="125">
        <f t="shared" si="8"/>
        <v>413.63923186678807</v>
      </c>
      <c r="H78" s="125">
        <v>831</v>
      </c>
      <c r="I78" s="125"/>
      <c r="J78" s="125"/>
      <c r="K78" s="125"/>
      <c r="L78" s="129">
        <v>200</v>
      </c>
      <c r="M78" s="127" t="s">
        <v>222</v>
      </c>
      <c r="N78" s="127">
        <v>1007</v>
      </c>
      <c r="O78" s="141">
        <f>ROUND((N78/$N$74)-1,2)</f>
        <v>0.32</v>
      </c>
    </row>
    <row r="79" spans="1:15" ht="15.75" thickBot="1" x14ac:dyDescent="0.3">
      <c r="A79" s="76" t="s">
        <v>213</v>
      </c>
      <c r="B79" s="134">
        <v>9.9270999999999994</v>
      </c>
      <c r="C79" s="131">
        <v>1.1870000000000001</v>
      </c>
      <c r="D79" s="133">
        <f>IF(PROLINE!$F$4="A",PROLINE!$D$4,PROLINE!$E$4)</f>
        <v>49.83</v>
      </c>
      <c r="E79" s="116">
        <v>2000</v>
      </c>
      <c r="F79" s="132">
        <f t="shared" si="7"/>
        <v>1027.4106891793094</v>
      </c>
      <c r="G79" s="125">
        <f t="shared" si="8"/>
        <v>513.70534458965471</v>
      </c>
      <c r="H79" s="125">
        <v>1043</v>
      </c>
      <c r="I79" s="125"/>
      <c r="J79" s="125"/>
      <c r="K79" s="125"/>
      <c r="L79" s="129"/>
      <c r="M79" s="127"/>
      <c r="N79" s="127"/>
      <c r="O79" s="127"/>
    </row>
    <row r="80" spans="1:15" ht="15.75" thickBot="1" x14ac:dyDescent="0.3">
      <c r="A80" s="76" t="s">
        <v>214</v>
      </c>
      <c r="B80" s="136">
        <v>9.9150378462364888</v>
      </c>
      <c r="C80" s="137">
        <v>1.2097</v>
      </c>
      <c r="D80" s="133">
        <f>IF(PROLINE!$F$4="A",PROLINE!$D$4,PROLINE!$E$4)</f>
        <v>49.83</v>
      </c>
      <c r="E80" s="138">
        <v>2000</v>
      </c>
      <c r="F80" s="139">
        <f t="shared" si="7"/>
        <v>1121.3704369830011</v>
      </c>
      <c r="G80" s="125">
        <f t="shared" si="8"/>
        <v>560.68521849150056</v>
      </c>
      <c r="H80" s="125">
        <v>1126</v>
      </c>
      <c r="I80" s="140">
        <f>H80/(POWER(D80,C80))</f>
        <v>9.9559719488409577</v>
      </c>
      <c r="J80" s="125" t="s">
        <v>266</v>
      </c>
      <c r="K80" s="125"/>
      <c r="L80" s="129"/>
      <c r="M80" s="130" t="s">
        <v>223</v>
      </c>
      <c r="N80" s="130"/>
      <c r="O80" s="141">
        <f>VLOOKUP(PROLINE!F6,L74:O78,4)</f>
        <v>0</v>
      </c>
    </row>
    <row r="81" spans="1:15" ht="15.75" thickBot="1" x14ac:dyDescent="0.3">
      <c r="A81" s="76" t="s">
        <v>215</v>
      </c>
      <c r="B81" s="134">
        <v>9.8376000000000001</v>
      </c>
      <c r="C81" s="131">
        <v>1.2323</v>
      </c>
      <c r="D81" s="133">
        <f>IF(PROLINE!$F$4="A",PROLINE!$D$4,PROLINE!$E$4)</f>
        <v>49.83</v>
      </c>
      <c r="E81" s="116">
        <v>2000</v>
      </c>
      <c r="F81" s="132">
        <f t="shared" si="7"/>
        <v>1215.3662729768525</v>
      </c>
      <c r="G81" s="125">
        <f t="shared" si="8"/>
        <v>607.68313648842627</v>
      </c>
      <c r="H81" s="125">
        <v>1205</v>
      </c>
      <c r="I81" s="125"/>
      <c r="J81" s="125"/>
      <c r="K81" s="125"/>
      <c r="L81" s="129"/>
      <c r="M81" s="127"/>
      <c r="N81" s="127"/>
      <c r="O81" s="127"/>
    </row>
    <row r="82" spans="1:15" ht="15.75" thickBot="1" x14ac:dyDescent="0.3">
      <c r="A82" s="76" t="s">
        <v>216</v>
      </c>
      <c r="B82" s="136">
        <v>10.471895973109511</v>
      </c>
      <c r="C82" s="137">
        <v>1.2284999999999999</v>
      </c>
      <c r="D82" s="133">
        <f>IF(PROLINE!$F$4="A",PROLINE!$D$4,PROLINE!$E$4)</f>
        <v>49.83</v>
      </c>
      <c r="E82" s="138">
        <v>2000</v>
      </c>
      <c r="F82" s="139">
        <f t="shared" si="7"/>
        <v>1274.6556466401539</v>
      </c>
      <c r="G82" s="125">
        <f t="shared" si="8"/>
        <v>637.32782332007696</v>
      </c>
      <c r="H82" s="125">
        <v>1280</v>
      </c>
      <c r="I82" s="140">
        <f>H82/(POWER(D82,C82))</f>
        <v>10.515802350942115</v>
      </c>
      <c r="J82" s="125" t="s">
        <v>266</v>
      </c>
      <c r="K82" s="125"/>
      <c r="L82" s="129"/>
      <c r="M82" s="127"/>
      <c r="N82" s="127"/>
      <c r="O82" s="127"/>
    </row>
    <row r="83" spans="1:15" ht="15.75" thickBot="1" x14ac:dyDescent="0.3">
      <c r="A83" s="76" t="s">
        <v>217</v>
      </c>
      <c r="B83" s="134">
        <v>11.1912</v>
      </c>
      <c r="C83" s="131">
        <v>1.2245999999999999</v>
      </c>
      <c r="D83" s="133">
        <f>IF(PROLINE!$F$4="A",PROLINE!$D$4,PROLINE!$E$4)</f>
        <v>49.83</v>
      </c>
      <c r="E83" s="116">
        <v>2000</v>
      </c>
      <c r="F83" s="132">
        <f t="shared" si="7"/>
        <v>1341.6029285086859</v>
      </c>
      <c r="G83" s="125">
        <f t="shared" si="8"/>
        <v>670.80146425434293</v>
      </c>
      <c r="H83" s="125">
        <v>1351</v>
      </c>
      <c r="I83" s="125"/>
      <c r="J83" s="125"/>
      <c r="K83" s="125"/>
      <c r="L83" s="129"/>
      <c r="M83" s="127"/>
      <c r="N83" s="127"/>
      <c r="O83" s="127"/>
    </row>
    <row r="84" spans="1:15" ht="15.75" thickBot="1" x14ac:dyDescent="0.3">
      <c r="A84" s="76" t="s">
        <v>218</v>
      </c>
      <c r="B84" s="136">
        <v>11.749806297587375</v>
      </c>
      <c r="C84" s="137">
        <v>1.2256</v>
      </c>
      <c r="D84" s="133">
        <f>IF(PROLINE!$F$4="A",PROLINE!$D$4,PROLINE!$E$4)</f>
        <v>49.83</v>
      </c>
      <c r="E84" s="138">
        <v>2000</v>
      </c>
      <c r="F84" s="139">
        <f t="shared" si="7"/>
        <v>1414.0850745580408</v>
      </c>
      <c r="G84" s="125">
        <f t="shared" si="8"/>
        <v>707.04253727902039</v>
      </c>
      <c r="H84" s="125">
        <v>1420</v>
      </c>
      <c r="I84" s="140">
        <f>H84/(POWER(D84,C84))</f>
        <v>11.79895413844795</v>
      </c>
      <c r="J84" s="125" t="s">
        <v>266</v>
      </c>
      <c r="K84" s="125"/>
      <c r="L84" s="129"/>
      <c r="M84" s="127"/>
      <c r="N84" s="127"/>
      <c r="O84" s="127"/>
    </row>
    <row r="85" spans="1:15" ht="15.75" thickBot="1" x14ac:dyDescent="0.3">
      <c r="A85" s="76" t="s">
        <v>219</v>
      </c>
      <c r="B85" s="134">
        <v>12.2446</v>
      </c>
      <c r="C85" s="131">
        <v>1.2265999999999999</v>
      </c>
      <c r="D85" s="133">
        <f>IF(PROLINE!$F$4="A",PROLINE!$D$4,PROLINE!$E$4)</f>
        <v>49.83</v>
      </c>
      <c r="E85" s="116">
        <v>2000</v>
      </c>
      <c r="F85" s="132">
        <f t="shared" si="7"/>
        <v>1479.4044632401572</v>
      </c>
      <c r="G85" s="125">
        <f t="shared" si="8"/>
        <v>739.70223162007858</v>
      </c>
      <c r="H85" s="125">
        <v>1485</v>
      </c>
      <c r="I85" s="125"/>
      <c r="J85" s="125"/>
      <c r="K85" s="125"/>
      <c r="L85" s="129"/>
      <c r="M85" s="127"/>
      <c r="N85" s="127"/>
      <c r="O85" s="127"/>
    </row>
    <row r="86" spans="1:15" x14ac:dyDescent="0.25">
      <c r="A86" s="63"/>
      <c r="B86" s="126"/>
      <c r="C86" s="116"/>
      <c r="D86" s="116"/>
      <c r="E86" s="116"/>
      <c r="F86" s="116"/>
      <c r="G86" s="116"/>
      <c r="H86" s="116"/>
      <c r="I86" s="116"/>
      <c r="J86" s="116"/>
      <c r="K86" s="116"/>
      <c r="L86" s="143"/>
      <c r="M86" s="143"/>
      <c r="N86" s="143"/>
      <c r="O86" s="14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05C7-3D85-4E5E-891F-84E719DA394C}">
  <dimension ref="A1:S49"/>
  <sheetViews>
    <sheetView workbookViewId="0"/>
  </sheetViews>
  <sheetFormatPr defaultRowHeight="11.25" x14ac:dyDescent="0.2"/>
  <cols>
    <col min="1" max="1" width="12.140625" style="17" customWidth="1"/>
    <col min="2" max="2" width="9.140625" style="17"/>
    <col min="3" max="3" width="17.85546875" style="1" customWidth="1"/>
    <col min="4" max="16" width="7.5703125" style="1" customWidth="1"/>
    <col min="17" max="16384" width="9.140625" style="1"/>
  </cols>
  <sheetData>
    <row r="1" spans="1:19" s="5" customFormat="1" ht="21" x14ac:dyDescent="0.35">
      <c r="A1" s="16"/>
      <c r="B1" s="16"/>
      <c r="C1" s="5" t="s">
        <v>33</v>
      </c>
      <c r="F1" s="6"/>
      <c r="I1" s="6"/>
      <c r="K1" s="6"/>
      <c r="Q1" s="6"/>
      <c r="R1" s="6"/>
      <c r="S1" s="6"/>
    </row>
    <row r="3" spans="1:19" x14ac:dyDescent="0.2">
      <c r="A3" s="1" t="s">
        <v>23</v>
      </c>
      <c r="C3" s="4" t="s">
        <v>32</v>
      </c>
      <c r="D3" s="1">
        <v>400</v>
      </c>
      <c r="F3" s="4" t="s">
        <v>174</v>
      </c>
      <c r="G3" s="32">
        <f>KONVEKTOR_RADIATOR!C6</f>
        <v>75</v>
      </c>
    </row>
    <row r="4" spans="1:19" x14ac:dyDescent="0.2">
      <c r="A4" s="1">
        <v>2</v>
      </c>
      <c r="C4" s="4" t="s">
        <v>31</v>
      </c>
      <c r="D4" s="1">
        <v>6000</v>
      </c>
      <c r="F4" s="4" t="s">
        <v>135</v>
      </c>
      <c r="G4" s="32">
        <f>KONVEKTOR_RADIATOR!D6</f>
        <v>65</v>
      </c>
    </row>
    <row r="5" spans="1:19" x14ac:dyDescent="0.2">
      <c r="A5" s="1">
        <v>3</v>
      </c>
      <c r="C5" s="4" t="s">
        <v>30</v>
      </c>
      <c r="D5" s="1">
        <v>3200</v>
      </c>
      <c r="F5" s="4" t="s">
        <v>134</v>
      </c>
      <c r="G5" s="32">
        <f>KONVEKTOR_RADIATOR!E6</f>
        <v>20</v>
      </c>
    </row>
    <row r="6" spans="1:19" x14ac:dyDescent="0.2">
      <c r="A6" s="1">
        <v>4</v>
      </c>
      <c r="C6" s="4" t="s">
        <v>29</v>
      </c>
      <c r="D6" s="1">
        <f>+D4-D5</f>
        <v>2800</v>
      </c>
    </row>
    <row r="7" spans="1:19" x14ac:dyDescent="0.2">
      <c r="A7" s="1">
        <v>5</v>
      </c>
      <c r="C7" s="4" t="s">
        <v>28</v>
      </c>
      <c r="D7" s="1">
        <f>ROUND((((($G$3-$G$4)/LN(($G$3-$G$5)/($G$4-$G$5)))/((75-65)/LN((75-20)/(65-20))))^1.2),10)</f>
        <v>1</v>
      </c>
    </row>
    <row r="8" spans="1:19" x14ac:dyDescent="0.2">
      <c r="A8" s="1">
        <v>6</v>
      </c>
      <c r="C8" s="4" t="s">
        <v>27</v>
      </c>
      <c r="D8" s="3">
        <v>1</v>
      </c>
      <c r="J8" s="2"/>
    </row>
    <row r="9" spans="1:19" x14ac:dyDescent="0.2">
      <c r="A9" s="1">
        <v>7</v>
      </c>
      <c r="C9" s="4" t="s">
        <v>21</v>
      </c>
      <c r="D9" s="1" t="s">
        <v>175</v>
      </c>
    </row>
    <row r="10" spans="1:19" x14ac:dyDescent="0.2">
      <c r="A10" s="1">
        <v>8</v>
      </c>
    </row>
    <row r="11" spans="1:19" x14ac:dyDescent="0.2">
      <c r="A11" s="1">
        <v>9</v>
      </c>
    </row>
    <row r="12" spans="1:19" x14ac:dyDescent="0.2">
      <c r="A12" s="1">
        <v>10</v>
      </c>
      <c r="C12" s="1" t="s">
        <v>26</v>
      </c>
    </row>
    <row r="13" spans="1:19" x14ac:dyDescent="0.2">
      <c r="A13" s="1">
        <v>11</v>
      </c>
      <c r="C13" s="1" t="s">
        <v>25</v>
      </c>
    </row>
    <row r="14" spans="1:19" x14ac:dyDescent="0.2">
      <c r="A14" s="1">
        <v>12</v>
      </c>
      <c r="D14" s="15" t="s">
        <v>181</v>
      </c>
      <c r="E14" s="15" t="s">
        <v>181</v>
      </c>
      <c r="F14" s="15" t="s">
        <v>181</v>
      </c>
      <c r="G14" s="22" t="s">
        <v>172</v>
      </c>
      <c r="H14" s="22" t="s">
        <v>182</v>
      </c>
      <c r="I14" s="22" t="s">
        <v>182</v>
      </c>
      <c r="J14" s="24" t="s">
        <v>268</v>
      </c>
      <c r="K14" s="24" t="s">
        <v>268</v>
      </c>
      <c r="L14" s="14" t="s">
        <v>306</v>
      </c>
      <c r="M14" s="14" t="s">
        <v>306</v>
      </c>
      <c r="N14" s="14" t="s">
        <v>306</v>
      </c>
      <c r="O14" s="29" t="s">
        <v>307</v>
      </c>
      <c r="P14" s="29" t="s">
        <v>307</v>
      </c>
      <c r="Q14" s="15" t="s">
        <v>269</v>
      </c>
      <c r="R14" s="15" t="s">
        <v>269</v>
      </c>
    </row>
    <row r="15" spans="1:19" x14ac:dyDescent="0.2">
      <c r="A15" s="1">
        <v>13</v>
      </c>
      <c r="C15" s="1" t="s">
        <v>24</v>
      </c>
      <c r="D15" s="20" t="s">
        <v>169</v>
      </c>
      <c r="E15" s="20" t="s">
        <v>170</v>
      </c>
      <c r="F15" s="20" t="s">
        <v>171</v>
      </c>
      <c r="G15" s="23" t="s">
        <v>169</v>
      </c>
      <c r="H15" s="23" t="s">
        <v>170</v>
      </c>
      <c r="I15" s="23" t="s">
        <v>171</v>
      </c>
      <c r="J15" s="25" t="s">
        <v>170</v>
      </c>
      <c r="K15" s="25" t="s">
        <v>171</v>
      </c>
      <c r="L15" s="19" t="s">
        <v>169</v>
      </c>
      <c r="M15" s="19" t="s">
        <v>170</v>
      </c>
      <c r="N15" s="19" t="s">
        <v>171</v>
      </c>
      <c r="O15" s="30" t="s">
        <v>170</v>
      </c>
      <c r="P15" s="30" t="s">
        <v>171</v>
      </c>
      <c r="Q15" s="20" t="s">
        <v>170</v>
      </c>
      <c r="R15" s="20" t="s">
        <v>171</v>
      </c>
    </row>
    <row r="16" spans="1:19" x14ac:dyDescent="0.2">
      <c r="A16" s="1">
        <v>14</v>
      </c>
      <c r="C16" s="1">
        <v>70</v>
      </c>
      <c r="D16" s="1">
        <v>108</v>
      </c>
      <c r="E16" s="1">
        <v>392</v>
      </c>
      <c r="F16" s="1">
        <v>672</v>
      </c>
      <c r="G16" s="28">
        <v>105</v>
      </c>
      <c r="H16" s="28">
        <v>376</v>
      </c>
      <c r="I16" s="28">
        <v>622</v>
      </c>
      <c r="J16" s="27">
        <v>270</v>
      </c>
      <c r="K16" s="27">
        <v>430</v>
      </c>
      <c r="L16" s="26">
        <v>94</v>
      </c>
      <c r="M16" s="26">
        <v>202</v>
      </c>
      <c r="N16" s="26">
        <v>194</v>
      </c>
      <c r="O16" s="31">
        <v>202</v>
      </c>
      <c r="P16" s="31">
        <v>194</v>
      </c>
    </row>
    <row r="17" spans="1:18" x14ac:dyDescent="0.2">
      <c r="A17" s="1">
        <v>15</v>
      </c>
      <c r="C17" s="1">
        <f t="shared" ref="C17:C29" si="0">+C16+70</f>
        <v>140</v>
      </c>
      <c r="D17" s="1">
        <v>184</v>
      </c>
      <c r="E17" s="1">
        <v>601</v>
      </c>
      <c r="F17" s="1">
        <v>1043</v>
      </c>
      <c r="G17" s="28">
        <v>179</v>
      </c>
      <c r="H17" s="28">
        <v>573</v>
      </c>
      <c r="I17" s="28">
        <v>978</v>
      </c>
      <c r="J17" s="27">
        <v>402</v>
      </c>
      <c r="K17" s="27">
        <v>616</v>
      </c>
      <c r="L17" s="26">
        <v>148</v>
      </c>
      <c r="M17" s="26">
        <v>326</v>
      </c>
      <c r="N17" s="26">
        <v>313</v>
      </c>
      <c r="O17" s="31">
        <v>326</v>
      </c>
      <c r="P17" s="31">
        <v>313</v>
      </c>
    </row>
    <row r="18" spans="1:18" x14ac:dyDescent="0.2">
      <c r="A18" s="1">
        <v>16</v>
      </c>
      <c r="C18" s="1">
        <f t="shared" si="0"/>
        <v>210</v>
      </c>
      <c r="D18" s="1">
        <v>252</v>
      </c>
      <c r="E18" s="1">
        <v>791</v>
      </c>
      <c r="F18" s="1">
        <v>1339</v>
      </c>
      <c r="G18" s="28">
        <v>245</v>
      </c>
      <c r="H18" s="28">
        <v>753</v>
      </c>
      <c r="I18" s="28">
        <v>1265</v>
      </c>
      <c r="J18" s="27">
        <v>531</v>
      </c>
      <c r="K18" s="27">
        <v>810</v>
      </c>
      <c r="L18" s="26">
        <v>208</v>
      </c>
      <c r="M18" s="26">
        <v>434</v>
      </c>
      <c r="N18" s="26">
        <v>417</v>
      </c>
      <c r="O18" s="31">
        <v>434</v>
      </c>
      <c r="P18" s="31">
        <v>417</v>
      </c>
    </row>
    <row r="19" spans="1:18" x14ac:dyDescent="0.2">
      <c r="A19" s="1">
        <v>17</v>
      </c>
      <c r="C19" s="1">
        <f t="shared" si="0"/>
        <v>280</v>
      </c>
      <c r="D19" s="1">
        <v>315</v>
      </c>
      <c r="E19" s="1">
        <v>963</v>
      </c>
      <c r="F19" s="1">
        <v>1581</v>
      </c>
      <c r="G19" s="28">
        <v>306</v>
      </c>
      <c r="H19" s="28">
        <v>919</v>
      </c>
      <c r="I19" s="28">
        <v>1473</v>
      </c>
      <c r="J19" s="27">
        <v>662</v>
      </c>
      <c r="K19" s="27">
        <v>1041</v>
      </c>
      <c r="L19" s="26">
        <v>252</v>
      </c>
      <c r="M19" s="26">
        <v>531</v>
      </c>
      <c r="N19" s="26">
        <v>511</v>
      </c>
      <c r="O19" s="31">
        <v>531</v>
      </c>
      <c r="P19" s="31">
        <v>511</v>
      </c>
    </row>
    <row r="20" spans="1:18" x14ac:dyDescent="0.2">
      <c r="A20" s="1">
        <v>18</v>
      </c>
      <c r="C20" s="1">
        <f t="shared" si="0"/>
        <v>350</v>
      </c>
      <c r="D20" s="1">
        <v>393</v>
      </c>
      <c r="E20" s="1">
        <v>1107</v>
      </c>
      <c r="F20" s="1">
        <v>1892</v>
      </c>
      <c r="G20" s="28">
        <v>382</v>
      </c>
      <c r="H20" s="28">
        <v>1054</v>
      </c>
      <c r="I20" s="28">
        <v>1768</v>
      </c>
      <c r="J20" s="27">
        <v>774</v>
      </c>
      <c r="K20" s="27">
        <v>1221</v>
      </c>
      <c r="L20" s="26">
        <v>322</v>
      </c>
      <c r="M20" s="26">
        <v>589</v>
      </c>
      <c r="N20" s="26">
        <v>566</v>
      </c>
      <c r="O20" s="31">
        <v>589</v>
      </c>
      <c r="P20" s="31">
        <v>566</v>
      </c>
    </row>
    <row r="21" spans="1:18" x14ac:dyDescent="0.2">
      <c r="A21" s="1">
        <v>19</v>
      </c>
      <c r="C21" s="1">
        <f t="shared" si="0"/>
        <v>420</v>
      </c>
      <c r="D21" s="1">
        <v>468</v>
      </c>
      <c r="E21" s="1">
        <v>1218</v>
      </c>
      <c r="F21" s="1">
        <v>2148</v>
      </c>
      <c r="G21" s="28">
        <v>454</v>
      </c>
      <c r="H21" s="28">
        <v>1160</v>
      </c>
      <c r="I21" s="28">
        <v>2007</v>
      </c>
      <c r="J21" s="27">
        <v>877</v>
      </c>
      <c r="K21" s="27">
        <v>1386</v>
      </c>
      <c r="L21" s="26">
        <v>384</v>
      </c>
      <c r="M21" s="26">
        <v>650</v>
      </c>
      <c r="N21" s="26">
        <v>625</v>
      </c>
      <c r="O21" s="31">
        <v>650</v>
      </c>
      <c r="P21" s="31">
        <v>625</v>
      </c>
    </row>
    <row r="22" spans="1:18" x14ac:dyDescent="0.2">
      <c r="A22" s="1">
        <v>20</v>
      </c>
      <c r="C22" s="1">
        <f t="shared" si="0"/>
        <v>490</v>
      </c>
      <c r="D22" s="1">
        <v>538</v>
      </c>
      <c r="E22" s="1">
        <v>1369</v>
      </c>
      <c r="F22" s="1">
        <v>2427</v>
      </c>
      <c r="G22" s="28">
        <v>522</v>
      </c>
      <c r="H22" s="28">
        <v>1304</v>
      </c>
      <c r="I22" s="28">
        <v>2268</v>
      </c>
      <c r="J22" s="27">
        <v>965</v>
      </c>
      <c r="K22" s="27">
        <v>1559</v>
      </c>
      <c r="L22" s="26">
        <v>441</v>
      </c>
      <c r="M22" s="26">
        <v>710</v>
      </c>
      <c r="N22" s="26">
        <v>683</v>
      </c>
      <c r="O22" s="31">
        <v>710</v>
      </c>
      <c r="P22" s="31">
        <v>683</v>
      </c>
    </row>
    <row r="23" spans="1:18" x14ac:dyDescent="0.2">
      <c r="C23" s="1">
        <f t="shared" si="0"/>
        <v>560</v>
      </c>
      <c r="D23" s="1">
        <v>607</v>
      </c>
      <c r="E23" s="1">
        <v>1521</v>
      </c>
      <c r="F23" s="1">
        <v>2718</v>
      </c>
      <c r="G23" s="28">
        <v>589</v>
      </c>
      <c r="H23" s="28">
        <v>1449</v>
      </c>
      <c r="I23" s="28">
        <v>2540</v>
      </c>
      <c r="J23" s="27">
        <v>1061</v>
      </c>
      <c r="K23" s="27">
        <v>1739</v>
      </c>
      <c r="L23" s="26">
        <v>498</v>
      </c>
      <c r="M23" s="26">
        <v>770</v>
      </c>
      <c r="N23" s="26">
        <v>740</v>
      </c>
      <c r="O23" s="31">
        <v>770</v>
      </c>
      <c r="P23" s="31">
        <v>740</v>
      </c>
    </row>
    <row r="24" spans="1:18" x14ac:dyDescent="0.2">
      <c r="C24" s="1">
        <f t="shared" si="0"/>
        <v>630</v>
      </c>
      <c r="D24" s="1">
        <v>678</v>
      </c>
      <c r="E24" s="1">
        <v>1699</v>
      </c>
      <c r="F24" s="1">
        <v>3044</v>
      </c>
      <c r="G24" s="28">
        <v>658</v>
      </c>
      <c r="H24" s="28">
        <v>1618</v>
      </c>
      <c r="I24" s="28">
        <v>2845</v>
      </c>
      <c r="J24" s="27">
        <v>1157</v>
      </c>
      <c r="K24" s="27">
        <v>1912</v>
      </c>
      <c r="L24" s="26">
        <v>556</v>
      </c>
      <c r="M24" s="26">
        <v>823</v>
      </c>
      <c r="N24" s="26">
        <v>791</v>
      </c>
      <c r="O24" s="31">
        <v>823</v>
      </c>
      <c r="P24" s="31">
        <v>791</v>
      </c>
    </row>
    <row r="25" spans="1:18" x14ac:dyDescent="0.2">
      <c r="C25" s="1">
        <f t="shared" si="0"/>
        <v>700</v>
      </c>
      <c r="D25" s="1">
        <v>744</v>
      </c>
      <c r="E25" s="1">
        <v>2046</v>
      </c>
      <c r="F25" s="1">
        <v>3394</v>
      </c>
      <c r="G25" s="28">
        <v>722</v>
      </c>
      <c r="H25" s="28">
        <v>1949</v>
      </c>
      <c r="I25" s="28">
        <v>3172</v>
      </c>
      <c r="J25" s="27">
        <v>1272</v>
      </c>
      <c r="K25" s="27">
        <v>2094</v>
      </c>
      <c r="L25" s="26">
        <v>599</v>
      </c>
      <c r="M25" s="26">
        <v>873</v>
      </c>
      <c r="N25" s="26">
        <v>839</v>
      </c>
      <c r="O25" s="31">
        <v>873</v>
      </c>
      <c r="P25" s="31">
        <v>839</v>
      </c>
    </row>
    <row r="26" spans="1:18" x14ac:dyDescent="0.2">
      <c r="C26" s="1">
        <f t="shared" si="0"/>
        <v>770</v>
      </c>
      <c r="D26" s="1">
        <v>811</v>
      </c>
      <c r="E26" s="1">
        <v>2220</v>
      </c>
      <c r="F26" s="1">
        <v>3733</v>
      </c>
      <c r="G26" s="28">
        <v>787</v>
      </c>
      <c r="H26" s="28">
        <v>2114</v>
      </c>
      <c r="I26" s="28">
        <v>3489</v>
      </c>
      <c r="J26" s="27">
        <v>1399</v>
      </c>
      <c r="K26" s="27">
        <v>2272</v>
      </c>
      <c r="L26" s="26">
        <v>665</v>
      </c>
      <c r="M26" s="26">
        <v>925</v>
      </c>
      <c r="N26" s="26">
        <v>889</v>
      </c>
      <c r="O26" s="31">
        <v>925</v>
      </c>
      <c r="P26" s="31">
        <v>889</v>
      </c>
    </row>
    <row r="27" spans="1:18" x14ac:dyDescent="0.2">
      <c r="C27" s="1">
        <f t="shared" si="0"/>
        <v>840</v>
      </c>
      <c r="D27" s="1">
        <v>880</v>
      </c>
      <c r="E27" s="1">
        <v>2409</v>
      </c>
      <c r="F27" s="1">
        <v>4070</v>
      </c>
      <c r="G27" s="28">
        <v>854</v>
      </c>
      <c r="H27" s="28">
        <v>2294</v>
      </c>
      <c r="I27" s="28">
        <v>3804</v>
      </c>
      <c r="J27" s="27">
        <v>1526</v>
      </c>
      <c r="K27" s="27">
        <v>2443</v>
      </c>
      <c r="L27" s="26">
        <v>704</v>
      </c>
      <c r="M27" s="26">
        <v>981</v>
      </c>
      <c r="N27" s="26">
        <v>943</v>
      </c>
      <c r="O27" s="31">
        <v>981</v>
      </c>
      <c r="P27" s="31">
        <v>943</v>
      </c>
    </row>
    <row r="28" spans="1:18" x14ac:dyDescent="0.2">
      <c r="C28" s="1">
        <f t="shared" si="0"/>
        <v>910</v>
      </c>
      <c r="D28" s="1">
        <v>955</v>
      </c>
      <c r="E28" s="1">
        <v>2601</v>
      </c>
      <c r="F28" s="1">
        <v>4436</v>
      </c>
      <c r="G28" s="28">
        <v>927</v>
      </c>
      <c r="H28" s="28">
        <v>2477</v>
      </c>
      <c r="I28" s="28">
        <v>4146</v>
      </c>
      <c r="J28" s="27">
        <v>1663</v>
      </c>
      <c r="K28" s="27">
        <v>2626</v>
      </c>
      <c r="L28" s="26">
        <v>783</v>
      </c>
      <c r="M28" s="26">
        <v>1040</v>
      </c>
      <c r="N28" s="26">
        <v>1000</v>
      </c>
      <c r="O28" s="31">
        <v>1040</v>
      </c>
      <c r="P28" s="31">
        <v>1000</v>
      </c>
    </row>
    <row r="29" spans="1:18" x14ac:dyDescent="0.2">
      <c r="C29" s="1">
        <f t="shared" si="0"/>
        <v>980</v>
      </c>
      <c r="D29" s="1">
        <v>1031</v>
      </c>
      <c r="E29" s="1">
        <v>2796</v>
      </c>
      <c r="F29" s="1">
        <v>4835</v>
      </c>
      <c r="G29" s="28">
        <v>1001</v>
      </c>
      <c r="H29" s="28">
        <v>2663</v>
      </c>
      <c r="I29" s="28">
        <v>4519</v>
      </c>
      <c r="J29" s="27">
        <v>1796</v>
      </c>
      <c r="K29" s="27">
        <v>2809</v>
      </c>
      <c r="L29" s="26">
        <v>825</v>
      </c>
      <c r="M29" s="26">
        <v>1097</v>
      </c>
      <c r="N29" s="26">
        <v>1055</v>
      </c>
      <c r="O29" s="31">
        <v>1097</v>
      </c>
      <c r="P29" s="31">
        <v>1055</v>
      </c>
    </row>
    <row r="31" spans="1:18" x14ac:dyDescent="0.2">
      <c r="C31" s="1" t="str">
        <f>KONVEKTOR_RADIATOR!$B$6&amp;"/M @ "&amp;KONVEKTOR_RADIATOR!$C$6&amp;"/"&amp;KONVEKTOR_RADIATOR!$D$6&amp;"/"&amp;KONVEKTOR_RADIATOR!$E$6</f>
        <v>ΔT 50/M @ 75/65/20</v>
      </c>
    </row>
    <row r="32" spans="1:18" x14ac:dyDescent="0.2">
      <c r="A32" s="17" t="s">
        <v>166</v>
      </c>
      <c r="B32" s="17" t="s">
        <v>168</v>
      </c>
      <c r="D32" s="15" t="str">
        <f t="shared" ref="D32:P32" si="1">+D14</f>
        <v>CL / TL</v>
      </c>
      <c r="E32" s="15" t="str">
        <f t="shared" si="1"/>
        <v>CL / TL</v>
      </c>
      <c r="F32" s="15" t="str">
        <f t="shared" si="1"/>
        <v>CL / TL</v>
      </c>
      <c r="G32" s="22" t="str">
        <f t="shared" si="1"/>
        <v>TLX</v>
      </c>
      <c r="H32" s="22" t="str">
        <f t="shared" si="1"/>
        <v>CLX / TLX</v>
      </c>
      <c r="I32" s="22" t="str">
        <f t="shared" si="1"/>
        <v>CLX / TLX</v>
      </c>
      <c r="J32" s="24" t="str">
        <f t="shared" si="1"/>
        <v>TSX</v>
      </c>
      <c r="K32" s="24" t="str">
        <f t="shared" si="1"/>
        <v>TSX</v>
      </c>
      <c r="L32" s="14" t="str">
        <f t="shared" si="1"/>
        <v>TLXF</v>
      </c>
      <c r="M32" s="14" t="str">
        <f t="shared" si="1"/>
        <v>TLXF</v>
      </c>
      <c r="N32" s="14" t="str">
        <f t="shared" si="1"/>
        <v>TLXF</v>
      </c>
      <c r="O32" s="29" t="str">
        <f t="shared" si="1"/>
        <v>TSXF</v>
      </c>
      <c r="P32" s="29" t="str">
        <f t="shared" si="1"/>
        <v>TSXF</v>
      </c>
      <c r="Q32" s="24" t="str">
        <f t="shared" ref="Q32:R32" si="2">+Q14</f>
        <v>TS</v>
      </c>
      <c r="R32" s="24" t="str">
        <f t="shared" si="2"/>
        <v>TS</v>
      </c>
    </row>
    <row r="33" spans="1:18" x14ac:dyDescent="0.2">
      <c r="A33" s="17" t="s">
        <v>167</v>
      </c>
      <c r="B33" s="17" t="s">
        <v>167</v>
      </c>
      <c r="C33" s="1" t="str">
        <f t="shared" ref="C33:C47" si="3">+C15</f>
        <v>Height</v>
      </c>
      <c r="D33" s="20" t="str">
        <f t="shared" ref="D33:P33" si="4">+D15</f>
        <v>01</v>
      </c>
      <c r="E33" s="20" t="str">
        <f t="shared" si="4"/>
        <v>02</v>
      </c>
      <c r="F33" s="20" t="str">
        <f t="shared" si="4"/>
        <v>03</v>
      </c>
      <c r="G33" s="23" t="str">
        <f t="shared" si="4"/>
        <v>01</v>
      </c>
      <c r="H33" s="23" t="str">
        <f t="shared" si="4"/>
        <v>02</v>
      </c>
      <c r="I33" s="23" t="str">
        <f t="shared" si="4"/>
        <v>03</v>
      </c>
      <c r="J33" s="25" t="str">
        <f t="shared" si="4"/>
        <v>02</v>
      </c>
      <c r="K33" s="25" t="str">
        <f t="shared" si="4"/>
        <v>03</v>
      </c>
      <c r="L33" s="19" t="str">
        <f t="shared" si="4"/>
        <v>01</v>
      </c>
      <c r="M33" s="19" t="str">
        <f t="shared" si="4"/>
        <v>02</v>
      </c>
      <c r="N33" s="19" t="str">
        <f t="shared" si="4"/>
        <v>03</v>
      </c>
      <c r="O33" s="30" t="str">
        <f t="shared" si="4"/>
        <v>02</v>
      </c>
      <c r="P33" s="30" t="str">
        <f t="shared" si="4"/>
        <v>03</v>
      </c>
      <c r="Q33" s="25" t="str">
        <f t="shared" ref="Q33:R33" si="5">+Q15</f>
        <v>02</v>
      </c>
      <c r="R33" s="25" t="str">
        <f t="shared" si="5"/>
        <v>03</v>
      </c>
    </row>
    <row r="34" spans="1:18" x14ac:dyDescent="0.2">
      <c r="A34" s="18">
        <v>0.38</v>
      </c>
      <c r="B34" s="17">
        <v>0.15</v>
      </c>
      <c r="C34" s="1">
        <f t="shared" si="3"/>
        <v>70</v>
      </c>
      <c r="D34" s="1">
        <f t="shared" ref="D34:D47" si="6">ROUND(D16*$D$7*$D$8,0)</f>
        <v>108</v>
      </c>
      <c r="E34" s="1">
        <f t="shared" ref="E34:F47" si="7">ROUND((E16*$D$7*$D$8)-((E16*$D$7*$D$8)*$A34),0)</f>
        <v>243</v>
      </c>
      <c r="F34" s="1">
        <f t="shared" si="7"/>
        <v>417</v>
      </c>
      <c r="G34" s="28">
        <f t="shared" ref="G34:G47" si="8">ROUND(G16*$D$7*$D$8,0)</f>
        <v>105</v>
      </c>
      <c r="H34" s="28">
        <f t="shared" ref="H34:K47" si="9">ROUND((H16*$D$7*$D$8)-((H16*$D$7*$D$8)*$A34),0)</f>
        <v>233</v>
      </c>
      <c r="I34" s="28">
        <f t="shared" si="9"/>
        <v>386</v>
      </c>
      <c r="J34" s="27">
        <f t="shared" si="9"/>
        <v>167</v>
      </c>
      <c r="K34" s="27">
        <f t="shared" si="9"/>
        <v>267</v>
      </c>
      <c r="L34" s="26">
        <f>ROUND(G34-(G34* $B34),0)</f>
        <v>89</v>
      </c>
      <c r="M34" s="26">
        <f>ROUND(H34-(H34* $B34),0)</f>
        <v>198</v>
      </c>
      <c r="N34" s="26">
        <f>ROUND(I34-(I34* $B34),0)</f>
        <v>328</v>
      </c>
      <c r="O34" s="31">
        <f>ROUND(J34-(J34* $B34),0)</f>
        <v>142</v>
      </c>
      <c r="P34" s="31">
        <f>ROUND(K34-(K34* $B34),0)</f>
        <v>227</v>
      </c>
      <c r="Q34" s="32">
        <f>ROUND(J34+((E34-H34)/2),0)</f>
        <v>172</v>
      </c>
      <c r="R34" s="32">
        <f>ROUND(K34+((F34-I34)/2),0)</f>
        <v>283</v>
      </c>
    </row>
    <row r="35" spans="1:18" x14ac:dyDescent="0.2">
      <c r="A35" s="18">
        <f>A34+$A$49</f>
        <v>0.38500000000000001</v>
      </c>
      <c r="B35" s="17">
        <v>0.15</v>
      </c>
      <c r="C35" s="1">
        <f t="shared" si="3"/>
        <v>140</v>
      </c>
      <c r="D35" s="1">
        <f t="shared" si="6"/>
        <v>184</v>
      </c>
      <c r="E35" s="1">
        <f t="shared" si="7"/>
        <v>370</v>
      </c>
      <c r="F35" s="1">
        <f t="shared" si="7"/>
        <v>641</v>
      </c>
      <c r="G35" s="28">
        <f t="shared" si="8"/>
        <v>179</v>
      </c>
      <c r="H35" s="28">
        <f t="shared" si="9"/>
        <v>352</v>
      </c>
      <c r="I35" s="28">
        <f t="shared" si="9"/>
        <v>601</v>
      </c>
      <c r="J35" s="27">
        <f t="shared" si="9"/>
        <v>247</v>
      </c>
      <c r="K35" s="27">
        <f t="shared" si="9"/>
        <v>379</v>
      </c>
      <c r="L35" s="26">
        <f t="shared" ref="L35:L47" si="10">ROUND(G35-(G35* $B35),0)</f>
        <v>152</v>
      </c>
      <c r="M35" s="26">
        <f t="shared" ref="M35:M47" si="11">ROUND(H35-(H35* $B35),0)</f>
        <v>299</v>
      </c>
      <c r="N35" s="26">
        <f t="shared" ref="N35:N47" si="12">ROUND(I35-(I35* $B35),0)</f>
        <v>511</v>
      </c>
      <c r="O35" s="31">
        <f t="shared" ref="O35:O46" si="13">ROUND(J35-(J35* $B35),0)</f>
        <v>210</v>
      </c>
      <c r="P35" s="31">
        <f t="shared" ref="P35:P46" si="14">ROUND(K35-(K35* $B35),0)</f>
        <v>322</v>
      </c>
      <c r="Q35" s="32">
        <f t="shared" ref="Q35:R47" si="15">ROUND(J35+((E35-H35)/2),0)</f>
        <v>256</v>
      </c>
      <c r="R35" s="32">
        <f t="shared" si="15"/>
        <v>399</v>
      </c>
    </row>
    <row r="36" spans="1:18" x14ac:dyDescent="0.2">
      <c r="A36" s="18">
        <f t="shared" ref="A36:A47" si="16">A35+$A$49</f>
        <v>0.39</v>
      </c>
      <c r="B36" s="17">
        <v>0.15</v>
      </c>
      <c r="C36" s="1">
        <f t="shared" si="3"/>
        <v>210</v>
      </c>
      <c r="D36" s="1">
        <f t="shared" si="6"/>
        <v>252</v>
      </c>
      <c r="E36" s="1">
        <f t="shared" si="7"/>
        <v>483</v>
      </c>
      <c r="F36" s="1">
        <f t="shared" si="7"/>
        <v>817</v>
      </c>
      <c r="G36" s="28">
        <f t="shared" si="8"/>
        <v>245</v>
      </c>
      <c r="H36" s="28">
        <f t="shared" si="9"/>
        <v>459</v>
      </c>
      <c r="I36" s="28">
        <f t="shared" si="9"/>
        <v>772</v>
      </c>
      <c r="J36" s="27">
        <f t="shared" si="9"/>
        <v>324</v>
      </c>
      <c r="K36" s="27">
        <f t="shared" si="9"/>
        <v>494</v>
      </c>
      <c r="L36" s="26">
        <f t="shared" si="10"/>
        <v>208</v>
      </c>
      <c r="M36" s="26">
        <f t="shared" si="11"/>
        <v>390</v>
      </c>
      <c r="N36" s="26">
        <f t="shared" si="12"/>
        <v>656</v>
      </c>
      <c r="O36" s="31">
        <f t="shared" si="13"/>
        <v>275</v>
      </c>
      <c r="P36" s="31">
        <f t="shared" si="14"/>
        <v>420</v>
      </c>
      <c r="Q36" s="32">
        <f t="shared" si="15"/>
        <v>336</v>
      </c>
      <c r="R36" s="32">
        <f t="shared" si="15"/>
        <v>517</v>
      </c>
    </row>
    <row r="37" spans="1:18" x14ac:dyDescent="0.2">
      <c r="A37" s="18">
        <f t="shared" si="16"/>
        <v>0.39500000000000002</v>
      </c>
      <c r="B37" s="17">
        <v>0.15</v>
      </c>
      <c r="C37" s="1">
        <f t="shared" si="3"/>
        <v>280</v>
      </c>
      <c r="D37" s="1">
        <f t="shared" si="6"/>
        <v>315</v>
      </c>
      <c r="E37" s="1">
        <f t="shared" si="7"/>
        <v>583</v>
      </c>
      <c r="F37" s="1">
        <f t="shared" si="7"/>
        <v>957</v>
      </c>
      <c r="G37" s="28">
        <f t="shared" si="8"/>
        <v>306</v>
      </c>
      <c r="H37" s="28">
        <f t="shared" si="9"/>
        <v>556</v>
      </c>
      <c r="I37" s="28">
        <f t="shared" si="9"/>
        <v>891</v>
      </c>
      <c r="J37" s="27">
        <f t="shared" si="9"/>
        <v>401</v>
      </c>
      <c r="K37" s="27">
        <f t="shared" si="9"/>
        <v>630</v>
      </c>
      <c r="L37" s="26">
        <f t="shared" si="10"/>
        <v>260</v>
      </c>
      <c r="M37" s="26">
        <f t="shared" si="11"/>
        <v>473</v>
      </c>
      <c r="N37" s="26">
        <f t="shared" si="12"/>
        <v>757</v>
      </c>
      <c r="O37" s="31">
        <f t="shared" si="13"/>
        <v>341</v>
      </c>
      <c r="P37" s="31">
        <f t="shared" si="14"/>
        <v>536</v>
      </c>
      <c r="Q37" s="32">
        <f t="shared" si="15"/>
        <v>415</v>
      </c>
      <c r="R37" s="32">
        <f t="shared" si="15"/>
        <v>663</v>
      </c>
    </row>
    <row r="38" spans="1:18" x14ac:dyDescent="0.2">
      <c r="A38" s="18">
        <f t="shared" si="16"/>
        <v>0.4</v>
      </c>
      <c r="B38" s="17">
        <v>0.15</v>
      </c>
      <c r="C38" s="1">
        <f t="shared" si="3"/>
        <v>350</v>
      </c>
      <c r="D38" s="1">
        <f t="shared" si="6"/>
        <v>393</v>
      </c>
      <c r="E38" s="1">
        <f t="shared" si="7"/>
        <v>664</v>
      </c>
      <c r="F38" s="1">
        <f t="shared" si="7"/>
        <v>1135</v>
      </c>
      <c r="G38" s="28">
        <f t="shared" si="8"/>
        <v>382</v>
      </c>
      <c r="H38" s="28">
        <f t="shared" si="9"/>
        <v>632</v>
      </c>
      <c r="I38" s="28">
        <f t="shared" si="9"/>
        <v>1061</v>
      </c>
      <c r="J38" s="27">
        <f t="shared" si="9"/>
        <v>464</v>
      </c>
      <c r="K38" s="27">
        <f t="shared" si="9"/>
        <v>733</v>
      </c>
      <c r="L38" s="26">
        <f t="shared" si="10"/>
        <v>325</v>
      </c>
      <c r="M38" s="26">
        <f t="shared" si="11"/>
        <v>537</v>
      </c>
      <c r="N38" s="26">
        <f t="shared" si="12"/>
        <v>902</v>
      </c>
      <c r="O38" s="31">
        <f t="shared" si="13"/>
        <v>394</v>
      </c>
      <c r="P38" s="31">
        <f t="shared" si="14"/>
        <v>623</v>
      </c>
      <c r="Q38" s="32">
        <f t="shared" si="15"/>
        <v>480</v>
      </c>
      <c r="R38" s="32">
        <f t="shared" si="15"/>
        <v>770</v>
      </c>
    </row>
    <row r="39" spans="1:18" x14ac:dyDescent="0.2">
      <c r="A39" s="18">
        <f t="shared" si="16"/>
        <v>0.40500000000000003</v>
      </c>
      <c r="B39" s="17">
        <v>0.15</v>
      </c>
      <c r="C39" s="1">
        <f t="shared" si="3"/>
        <v>420</v>
      </c>
      <c r="D39" s="1">
        <f t="shared" si="6"/>
        <v>468</v>
      </c>
      <c r="E39" s="1">
        <f t="shared" si="7"/>
        <v>725</v>
      </c>
      <c r="F39" s="1">
        <f t="shared" si="7"/>
        <v>1278</v>
      </c>
      <c r="G39" s="28">
        <f t="shared" si="8"/>
        <v>454</v>
      </c>
      <c r="H39" s="28">
        <f t="shared" si="9"/>
        <v>690</v>
      </c>
      <c r="I39" s="28">
        <f t="shared" si="9"/>
        <v>1194</v>
      </c>
      <c r="J39" s="27">
        <f t="shared" si="9"/>
        <v>522</v>
      </c>
      <c r="K39" s="27">
        <f t="shared" si="9"/>
        <v>825</v>
      </c>
      <c r="L39" s="26">
        <f t="shared" si="10"/>
        <v>386</v>
      </c>
      <c r="M39" s="26">
        <f t="shared" si="11"/>
        <v>587</v>
      </c>
      <c r="N39" s="26">
        <f t="shared" si="12"/>
        <v>1015</v>
      </c>
      <c r="O39" s="31">
        <f t="shared" si="13"/>
        <v>444</v>
      </c>
      <c r="P39" s="31">
        <f t="shared" si="14"/>
        <v>701</v>
      </c>
      <c r="Q39" s="32">
        <f t="shared" si="15"/>
        <v>540</v>
      </c>
      <c r="R39" s="32">
        <f t="shared" si="15"/>
        <v>867</v>
      </c>
    </row>
    <row r="40" spans="1:18" x14ac:dyDescent="0.2">
      <c r="A40" s="18">
        <f t="shared" si="16"/>
        <v>0.41000000000000003</v>
      </c>
      <c r="B40" s="17">
        <v>0.15</v>
      </c>
      <c r="C40" s="1">
        <f t="shared" si="3"/>
        <v>490</v>
      </c>
      <c r="D40" s="1">
        <f t="shared" si="6"/>
        <v>538</v>
      </c>
      <c r="E40" s="1">
        <f t="shared" si="7"/>
        <v>808</v>
      </c>
      <c r="F40" s="1">
        <f t="shared" si="7"/>
        <v>1432</v>
      </c>
      <c r="G40" s="28">
        <f t="shared" si="8"/>
        <v>522</v>
      </c>
      <c r="H40" s="28">
        <f t="shared" si="9"/>
        <v>769</v>
      </c>
      <c r="I40" s="28">
        <f t="shared" si="9"/>
        <v>1338</v>
      </c>
      <c r="J40" s="27">
        <f t="shared" si="9"/>
        <v>569</v>
      </c>
      <c r="K40" s="27">
        <f t="shared" si="9"/>
        <v>920</v>
      </c>
      <c r="L40" s="26">
        <f t="shared" si="10"/>
        <v>444</v>
      </c>
      <c r="M40" s="26">
        <f t="shared" si="11"/>
        <v>654</v>
      </c>
      <c r="N40" s="26">
        <f t="shared" si="12"/>
        <v>1137</v>
      </c>
      <c r="O40" s="31">
        <f t="shared" si="13"/>
        <v>484</v>
      </c>
      <c r="P40" s="31">
        <f t="shared" si="14"/>
        <v>782</v>
      </c>
      <c r="Q40" s="32">
        <f t="shared" si="15"/>
        <v>589</v>
      </c>
      <c r="R40" s="32">
        <f t="shared" si="15"/>
        <v>967</v>
      </c>
    </row>
    <row r="41" spans="1:18" x14ac:dyDescent="0.2">
      <c r="A41" s="18">
        <f t="shared" si="16"/>
        <v>0.41500000000000004</v>
      </c>
      <c r="B41" s="17">
        <v>0.15</v>
      </c>
      <c r="C41" s="1">
        <f t="shared" si="3"/>
        <v>560</v>
      </c>
      <c r="D41" s="1">
        <f t="shared" si="6"/>
        <v>607</v>
      </c>
      <c r="E41" s="1">
        <f t="shared" si="7"/>
        <v>890</v>
      </c>
      <c r="F41" s="1">
        <f t="shared" si="7"/>
        <v>1590</v>
      </c>
      <c r="G41" s="28">
        <f t="shared" si="8"/>
        <v>589</v>
      </c>
      <c r="H41" s="28">
        <f t="shared" si="9"/>
        <v>848</v>
      </c>
      <c r="I41" s="28">
        <f t="shared" si="9"/>
        <v>1486</v>
      </c>
      <c r="J41" s="27">
        <f t="shared" si="9"/>
        <v>621</v>
      </c>
      <c r="K41" s="27">
        <f t="shared" si="9"/>
        <v>1017</v>
      </c>
      <c r="L41" s="26">
        <f t="shared" si="10"/>
        <v>501</v>
      </c>
      <c r="M41" s="26">
        <f t="shared" si="11"/>
        <v>721</v>
      </c>
      <c r="N41" s="26">
        <f t="shared" si="12"/>
        <v>1263</v>
      </c>
      <c r="O41" s="31">
        <f t="shared" si="13"/>
        <v>528</v>
      </c>
      <c r="P41" s="31">
        <f t="shared" si="14"/>
        <v>864</v>
      </c>
      <c r="Q41" s="32">
        <f t="shared" si="15"/>
        <v>642</v>
      </c>
      <c r="R41" s="32">
        <f t="shared" si="15"/>
        <v>1069</v>
      </c>
    </row>
    <row r="42" spans="1:18" x14ac:dyDescent="0.2">
      <c r="A42" s="18">
        <f t="shared" si="16"/>
        <v>0.42000000000000004</v>
      </c>
      <c r="B42" s="17">
        <v>0.15</v>
      </c>
      <c r="C42" s="1">
        <f t="shared" si="3"/>
        <v>630</v>
      </c>
      <c r="D42" s="1">
        <f t="shared" si="6"/>
        <v>678</v>
      </c>
      <c r="E42" s="1">
        <f t="shared" si="7"/>
        <v>985</v>
      </c>
      <c r="F42" s="1">
        <f t="shared" si="7"/>
        <v>1766</v>
      </c>
      <c r="G42" s="28">
        <f t="shared" si="8"/>
        <v>658</v>
      </c>
      <c r="H42" s="28">
        <f t="shared" si="9"/>
        <v>938</v>
      </c>
      <c r="I42" s="28">
        <f t="shared" si="9"/>
        <v>1650</v>
      </c>
      <c r="J42" s="27">
        <f t="shared" si="9"/>
        <v>671</v>
      </c>
      <c r="K42" s="27">
        <f t="shared" si="9"/>
        <v>1109</v>
      </c>
      <c r="L42" s="26">
        <f t="shared" si="10"/>
        <v>559</v>
      </c>
      <c r="M42" s="26">
        <f t="shared" si="11"/>
        <v>797</v>
      </c>
      <c r="N42" s="26">
        <f t="shared" si="12"/>
        <v>1403</v>
      </c>
      <c r="O42" s="31">
        <f t="shared" si="13"/>
        <v>570</v>
      </c>
      <c r="P42" s="31">
        <f t="shared" si="14"/>
        <v>943</v>
      </c>
      <c r="Q42" s="32">
        <f t="shared" si="15"/>
        <v>695</v>
      </c>
      <c r="R42" s="32">
        <f t="shared" si="15"/>
        <v>1167</v>
      </c>
    </row>
    <row r="43" spans="1:18" x14ac:dyDescent="0.2">
      <c r="A43" s="18">
        <f t="shared" si="16"/>
        <v>0.42500000000000004</v>
      </c>
      <c r="B43" s="17">
        <v>0.15</v>
      </c>
      <c r="C43" s="1">
        <f t="shared" si="3"/>
        <v>700</v>
      </c>
      <c r="D43" s="1">
        <f t="shared" si="6"/>
        <v>744</v>
      </c>
      <c r="E43" s="1">
        <f t="shared" si="7"/>
        <v>1176</v>
      </c>
      <c r="F43" s="1">
        <f t="shared" si="7"/>
        <v>1952</v>
      </c>
      <c r="G43" s="28">
        <f t="shared" si="8"/>
        <v>722</v>
      </c>
      <c r="H43" s="28">
        <f t="shared" si="9"/>
        <v>1121</v>
      </c>
      <c r="I43" s="28">
        <f t="shared" si="9"/>
        <v>1824</v>
      </c>
      <c r="J43" s="27">
        <f t="shared" si="9"/>
        <v>731</v>
      </c>
      <c r="K43" s="27">
        <f t="shared" si="9"/>
        <v>1204</v>
      </c>
      <c r="L43" s="26">
        <f t="shared" si="10"/>
        <v>614</v>
      </c>
      <c r="M43" s="26">
        <f t="shared" si="11"/>
        <v>953</v>
      </c>
      <c r="N43" s="26">
        <f t="shared" si="12"/>
        <v>1550</v>
      </c>
      <c r="O43" s="31">
        <f t="shared" si="13"/>
        <v>621</v>
      </c>
      <c r="P43" s="31">
        <f t="shared" si="14"/>
        <v>1023</v>
      </c>
      <c r="Q43" s="32">
        <f t="shared" si="15"/>
        <v>759</v>
      </c>
      <c r="R43" s="32">
        <f t="shared" si="15"/>
        <v>1268</v>
      </c>
    </row>
    <row r="44" spans="1:18" x14ac:dyDescent="0.2">
      <c r="A44" s="18">
        <f t="shared" si="16"/>
        <v>0.43000000000000005</v>
      </c>
      <c r="B44" s="17">
        <v>0.15</v>
      </c>
      <c r="C44" s="1">
        <f t="shared" si="3"/>
        <v>770</v>
      </c>
      <c r="D44" s="1">
        <f t="shared" si="6"/>
        <v>811</v>
      </c>
      <c r="E44" s="1">
        <f t="shared" si="7"/>
        <v>1265</v>
      </c>
      <c r="F44" s="1">
        <f t="shared" si="7"/>
        <v>2128</v>
      </c>
      <c r="G44" s="28">
        <f t="shared" si="8"/>
        <v>787</v>
      </c>
      <c r="H44" s="28">
        <f t="shared" si="9"/>
        <v>1205</v>
      </c>
      <c r="I44" s="28">
        <f t="shared" si="9"/>
        <v>1989</v>
      </c>
      <c r="J44" s="27">
        <f t="shared" si="9"/>
        <v>797</v>
      </c>
      <c r="K44" s="27">
        <f t="shared" si="9"/>
        <v>1295</v>
      </c>
      <c r="L44" s="26">
        <f t="shared" si="10"/>
        <v>669</v>
      </c>
      <c r="M44" s="26">
        <f t="shared" si="11"/>
        <v>1024</v>
      </c>
      <c r="N44" s="26">
        <f t="shared" si="12"/>
        <v>1691</v>
      </c>
      <c r="O44" s="31">
        <f t="shared" si="13"/>
        <v>677</v>
      </c>
      <c r="P44" s="31">
        <f t="shared" si="14"/>
        <v>1101</v>
      </c>
      <c r="Q44" s="32">
        <f t="shared" si="15"/>
        <v>827</v>
      </c>
      <c r="R44" s="32">
        <f t="shared" si="15"/>
        <v>1365</v>
      </c>
    </row>
    <row r="45" spans="1:18" x14ac:dyDescent="0.2">
      <c r="A45" s="18">
        <f t="shared" si="16"/>
        <v>0.43500000000000005</v>
      </c>
      <c r="B45" s="17">
        <v>0.15</v>
      </c>
      <c r="C45" s="1">
        <f t="shared" si="3"/>
        <v>840</v>
      </c>
      <c r="D45" s="1">
        <f t="shared" si="6"/>
        <v>880</v>
      </c>
      <c r="E45" s="1">
        <f t="shared" si="7"/>
        <v>1361</v>
      </c>
      <c r="F45" s="1">
        <f t="shared" si="7"/>
        <v>2300</v>
      </c>
      <c r="G45" s="28">
        <f t="shared" si="8"/>
        <v>854</v>
      </c>
      <c r="H45" s="28">
        <f t="shared" si="9"/>
        <v>1296</v>
      </c>
      <c r="I45" s="28">
        <f t="shared" si="9"/>
        <v>2149</v>
      </c>
      <c r="J45" s="27">
        <f t="shared" si="9"/>
        <v>862</v>
      </c>
      <c r="K45" s="27">
        <f t="shared" si="9"/>
        <v>1380</v>
      </c>
      <c r="L45" s="26">
        <f t="shared" si="10"/>
        <v>726</v>
      </c>
      <c r="M45" s="26">
        <f t="shared" si="11"/>
        <v>1102</v>
      </c>
      <c r="N45" s="26">
        <f t="shared" si="12"/>
        <v>1827</v>
      </c>
      <c r="O45" s="31">
        <f t="shared" si="13"/>
        <v>733</v>
      </c>
      <c r="P45" s="31">
        <f t="shared" si="14"/>
        <v>1173</v>
      </c>
      <c r="Q45" s="32">
        <f t="shared" si="15"/>
        <v>895</v>
      </c>
      <c r="R45" s="32">
        <f t="shared" si="15"/>
        <v>1456</v>
      </c>
    </row>
    <row r="46" spans="1:18" x14ac:dyDescent="0.2">
      <c r="A46" s="18">
        <f t="shared" si="16"/>
        <v>0.44000000000000006</v>
      </c>
      <c r="B46" s="17">
        <v>0.15</v>
      </c>
      <c r="C46" s="1">
        <f t="shared" si="3"/>
        <v>910</v>
      </c>
      <c r="D46" s="1">
        <f t="shared" si="6"/>
        <v>955</v>
      </c>
      <c r="E46" s="1">
        <f t="shared" si="7"/>
        <v>1457</v>
      </c>
      <c r="F46" s="1">
        <f t="shared" si="7"/>
        <v>2484</v>
      </c>
      <c r="G46" s="28">
        <f t="shared" si="8"/>
        <v>927</v>
      </c>
      <c r="H46" s="28">
        <f t="shared" si="9"/>
        <v>1387</v>
      </c>
      <c r="I46" s="28">
        <f t="shared" si="9"/>
        <v>2322</v>
      </c>
      <c r="J46" s="27">
        <f t="shared" si="9"/>
        <v>931</v>
      </c>
      <c r="K46" s="27">
        <f t="shared" si="9"/>
        <v>1471</v>
      </c>
      <c r="L46" s="26">
        <f t="shared" si="10"/>
        <v>788</v>
      </c>
      <c r="M46" s="26">
        <f t="shared" si="11"/>
        <v>1179</v>
      </c>
      <c r="N46" s="26">
        <f t="shared" si="12"/>
        <v>1974</v>
      </c>
      <c r="O46" s="31">
        <f t="shared" si="13"/>
        <v>791</v>
      </c>
      <c r="P46" s="31">
        <f t="shared" si="14"/>
        <v>1250</v>
      </c>
      <c r="Q46" s="32">
        <f t="shared" si="15"/>
        <v>966</v>
      </c>
      <c r="R46" s="32">
        <f t="shared" si="15"/>
        <v>1552</v>
      </c>
    </row>
    <row r="47" spans="1:18" x14ac:dyDescent="0.2">
      <c r="A47" s="18">
        <f t="shared" si="16"/>
        <v>0.44500000000000006</v>
      </c>
      <c r="B47" s="17">
        <v>0.15</v>
      </c>
      <c r="C47" s="1">
        <f t="shared" si="3"/>
        <v>980</v>
      </c>
      <c r="D47" s="1">
        <f t="shared" si="6"/>
        <v>1031</v>
      </c>
      <c r="E47" s="1">
        <f t="shared" si="7"/>
        <v>1552</v>
      </c>
      <c r="F47" s="1">
        <f t="shared" si="7"/>
        <v>2683</v>
      </c>
      <c r="G47" s="28">
        <f t="shared" si="8"/>
        <v>1001</v>
      </c>
      <c r="H47" s="28">
        <f t="shared" si="9"/>
        <v>1478</v>
      </c>
      <c r="I47" s="28">
        <f>ROUND((I29*$D$7*$D$8)-((I29*$D$7*$D$8)*$A47),0)</f>
        <v>2508</v>
      </c>
      <c r="J47" s="27">
        <f t="shared" si="9"/>
        <v>997</v>
      </c>
      <c r="K47" s="27">
        <f t="shared" si="9"/>
        <v>1559</v>
      </c>
      <c r="L47" s="26">
        <f t="shared" si="10"/>
        <v>851</v>
      </c>
      <c r="M47" s="26">
        <f t="shared" si="11"/>
        <v>1256</v>
      </c>
      <c r="N47" s="26">
        <f t="shared" si="12"/>
        <v>2132</v>
      </c>
      <c r="O47" s="31">
        <f>ROUND(J47-(J47* $B47),0)</f>
        <v>847</v>
      </c>
      <c r="P47" s="31">
        <f>ROUND(K47-(K47* $B47),0)</f>
        <v>1325</v>
      </c>
      <c r="Q47" s="32">
        <f t="shared" si="15"/>
        <v>1034</v>
      </c>
      <c r="R47" s="32">
        <f t="shared" si="15"/>
        <v>1647</v>
      </c>
    </row>
    <row r="49" spans="1:1" x14ac:dyDescent="0.2">
      <c r="A49" s="174">
        <v>5.0000000000000001E-3</v>
      </c>
    </row>
  </sheetData>
  <phoneticPr fontId="2" type="noConversion"/>
  <pageMargins left="0.7" right="0.7" top="0.75" bottom="0.75" header="0.3" footer="0.3"/>
  <pageSetup paperSize="9" orientation="portrait" verticalDpi="599"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D4E9-407B-4FD4-9DC2-2E1CE7D44C27}">
  <dimension ref="A1:E6"/>
  <sheetViews>
    <sheetView workbookViewId="0"/>
  </sheetViews>
  <sheetFormatPr defaultRowHeight="15" x14ac:dyDescent="0.25"/>
  <cols>
    <col min="1" max="1" width="20" customWidth="1"/>
  </cols>
  <sheetData>
    <row r="1" spans="1:5" x14ac:dyDescent="0.25">
      <c r="A1" t="s">
        <v>15</v>
      </c>
      <c r="C1" s="50" t="s">
        <v>220</v>
      </c>
      <c r="E1" s="50" t="s">
        <v>117</v>
      </c>
    </row>
    <row r="2" spans="1:5" x14ac:dyDescent="0.25">
      <c r="A2" t="str">
        <f ca="1">OFFSET(SPROG!$B$22,0,SPROG!$B$2)</f>
        <v>Arithmetic</v>
      </c>
      <c r="C2" s="51">
        <v>100</v>
      </c>
      <c r="E2" s="51">
        <v>70</v>
      </c>
    </row>
    <row r="3" spans="1:5" x14ac:dyDescent="0.25">
      <c r="A3" t="str">
        <f ca="1">OFFSET(SPROG!$B$23,0,SPROG!$B$2)</f>
        <v>Logarithmic</v>
      </c>
      <c r="C3" s="51">
        <v>120</v>
      </c>
      <c r="E3" s="52">
        <v>140</v>
      </c>
    </row>
    <row r="4" spans="1:5" x14ac:dyDescent="0.25">
      <c r="C4" s="51">
        <v>150</v>
      </c>
    </row>
    <row r="5" spans="1:5" x14ac:dyDescent="0.25">
      <c r="C5" s="51">
        <v>180</v>
      </c>
    </row>
    <row r="6" spans="1:5" x14ac:dyDescent="0.25">
      <c r="C6" s="52">
        <v>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F42F5-344E-4551-9F20-2609C73F3DA9}">
  <dimension ref="A1:E94"/>
  <sheetViews>
    <sheetView workbookViewId="0">
      <selection activeCell="B2" sqref="B2"/>
    </sheetView>
  </sheetViews>
  <sheetFormatPr defaultRowHeight="11.25" x14ac:dyDescent="0.2"/>
  <cols>
    <col min="1" max="1" width="3" style="1" customWidth="1"/>
    <col min="2" max="2" width="20.42578125" style="1" bestFit="1" customWidth="1"/>
    <col min="3" max="5" width="35" style="1" customWidth="1"/>
    <col min="6" max="16384" width="9.140625" style="1"/>
  </cols>
  <sheetData>
    <row r="1" spans="1:5" x14ac:dyDescent="0.2">
      <c r="A1" s="12" t="s">
        <v>164</v>
      </c>
    </row>
    <row r="2" spans="1:5" x14ac:dyDescent="0.2">
      <c r="B2" s="11">
        <v>2</v>
      </c>
    </row>
    <row r="3" spans="1:5" x14ac:dyDescent="0.2">
      <c r="A3" s="4" t="s">
        <v>115</v>
      </c>
    </row>
    <row r="4" spans="1:5" x14ac:dyDescent="0.2">
      <c r="B4" s="1" t="s">
        <v>22</v>
      </c>
    </row>
    <row r="5" spans="1:5" x14ac:dyDescent="0.2">
      <c r="B5" s="1" t="s">
        <v>163</v>
      </c>
    </row>
    <row r="7" spans="1:5" s="4" customFormat="1" x14ac:dyDescent="0.2">
      <c r="C7" s="4" t="s">
        <v>162</v>
      </c>
      <c r="D7" s="4" t="s">
        <v>161</v>
      </c>
      <c r="E7" s="4" t="s">
        <v>160</v>
      </c>
    </row>
    <row r="9" spans="1:5" s="4" customFormat="1" x14ac:dyDescent="0.2">
      <c r="A9" s="4" t="s">
        <v>159</v>
      </c>
    </row>
    <row r="10" spans="1:5" x14ac:dyDescent="0.2">
      <c r="B10" s="1" t="s">
        <v>47</v>
      </c>
      <c r="C10" s="1" t="s">
        <v>158</v>
      </c>
      <c r="D10" s="1" t="s">
        <v>157</v>
      </c>
      <c r="E10" s="1" t="s">
        <v>156</v>
      </c>
    </row>
    <row r="11" spans="1:5" x14ac:dyDescent="0.2">
      <c r="B11" s="1" t="s">
        <v>92</v>
      </c>
      <c r="C11" s="1" t="s">
        <v>91</v>
      </c>
      <c r="D11" s="1" t="s">
        <v>90</v>
      </c>
      <c r="E11" s="1" t="s">
        <v>89</v>
      </c>
    </row>
    <row r="12" spans="1:5" x14ac:dyDescent="0.2">
      <c r="B12" s="1" t="s">
        <v>77</v>
      </c>
      <c r="C12" s="1" t="s">
        <v>76</v>
      </c>
      <c r="D12" s="1" t="s">
        <v>76</v>
      </c>
      <c r="E12" s="1" t="s">
        <v>76</v>
      </c>
    </row>
    <row r="13" spans="1:5" x14ac:dyDescent="0.2">
      <c r="B13" s="1" t="s">
        <v>110</v>
      </c>
      <c r="C13" s="1" t="s">
        <v>70</v>
      </c>
      <c r="D13" s="1" t="s">
        <v>71</v>
      </c>
      <c r="E13" s="1" t="s">
        <v>70</v>
      </c>
    </row>
    <row r="14" spans="1:5" x14ac:dyDescent="0.2">
      <c r="B14" s="1" t="s">
        <v>258</v>
      </c>
      <c r="C14" s="1" t="s">
        <v>165</v>
      </c>
      <c r="D14" s="1" t="s">
        <v>165</v>
      </c>
      <c r="E14" s="1" t="s">
        <v>165</v>
      </c>
    </row>
    <row r="15" spans="1:5" x14ac:dyDescent="0.2">
      <c r="B15" s="1" t="s">
        <v>259</v>
      </c>
      <c r="C15" s="1" t="s">
        <v>203</v>
      </c>
      <c r="D15" s="1" t="s">
        <v>261</v>
      </c>
      <c r="E15" s="1" t="s">
        <v>261</v>
      </c>
    </row>
    <row r="16" spans="1:5" x14ac:dyDescent="0.2">
      <c r="B16" s="1" t="s">
        <v>260</v>
      </c>
      <c r="C16" s="1" t="s">
        <v>262</v>
      </c>
      <c r="D16" s="1" t="s">
        <v>262</v>
      </c>
      <c r="E16" s="1" t="s">
        <v>262</v>
      </c>
    </row>
    <row r="17" spans="1:5" x14ac:dyDescent="0.2">
      <c r="B17" s="1" t="s">
        <v>155</v>
      </c>
      <c r="C17" s="1" t="s">
        <v>154</v>
      </c>
      <c r="D17" s="1" t="s">
        <v>154</v>
      </c>
      <c r="E17" s="1" t="s">
        <v>154</v>
      </c>
    </row>
    <row r="18" spans="1:5" x14ac:dyDescent="0.2">
      <c r="B18" s="1" t="s">
        <v>88</v>
      </c>
      <c r="C18" s="1" t="s">
        <v>87</v>
      </c>
      <c r="D18" s="1" t="s">
        <v>86</v>
      </c>
      <c r="E18" s="1" t="s">
        <v>85</v>
      </c>
    </row>
    <row r="20" spans="1:5" s="4" customFormat="1" x14ac:dyDescent="0.2">
      <c r="A20" s="4" t="s">
        <v>153</v>
      </c>
    </row>
    <row r="21" spans="1:5" s="4" customFormat="1" x14ac:dyDescent="0.2">
      <c r="B21" s="1" t="s">
        <v>15</v>
      </c>
      <c r="C21" s="1" t="s">
        <v>15</v>
      </c>
      <c r="D21" s="1" t="s">
        <v>224</v>
      </c>
      <c r="E21" s="1" t="s">
        <v>240</v>
      </c>
    </row>
    <row r="22" spans="1:5" s="4" customFormat="1" x14ac:dyDescent="0.2">
      <c r="B22" s="1" t="s">
        <v>252</v>
      </c>
      <c r="C22" s="1" t="s">
        <v>17</v>
      </c>
      <c r="D22" s="1" t="s">
        <v>250</v>
      </c>
      <c r="E22" s="1" t="s">
        <v>251</v>
      </c>
    </row>
    <row r="23" spans="1:5" s="4" customFormat="1" x14ac:dyDescent="0.2">
      <c r="B23" s="1" t="s">
        <v>253</v>
      </c>
      <c r="C23" s="1" t="s">
        <v>16</v>
      </c>
      <c r="D23" s="1" t="s">
        <v>255</v>
      </c>
      <c r="E23" s="1" t="s">
        <v>254</v>
      </c>
    </row>
    <row r="24" spans="1:5" x14ac:dyDescent="0.2">
      <c r="B24" s="1" t="s">
        <v>152</v>
      </c>
      <c r="C24" s="1" t="s">
        <v>151</v>
      </c>
      <c r="D24" s="1" t="s">
        <v>150</v>
      </c>
      <c r="E24" s="1" t="s">
        <v>149</v>
      </c>
    </row>
    <row r="25" spans="1:5" x14ac:dyDescent="0.2">
      <c r="B25" s="1" t="s">
        <v>148</v>
      </c>
      <c r="C25" s="1" t="s">
        <v>147</v>
      </c>
      <c r="D25" s="1" t="s">
        <v>146</v>
      </c>
      <c r="E25" s="1" t="s">
        <v>145</v>
      </c>
    </row>
    <row r="26" spans="1:5" x14ac:dyDescent="0.2">
      <c r="B26" s="1" t="s">
        <v>144</v>
      </c>
      <c r="C26" s="1" t="s">
        <v>143</v>
      </c>
      <c r="D26" s="1" t="s">
        <v>142</v>
      </c>
      <c r="E26" s="1" t="s">
        <v>141</v>
      </c>
    </row>
    <row r="27" spans="1:5" x14ac:dyDescent="0.2">
      <c r="B27" s="1" t="s">
        <v>140</v>
      </c>
      <c r="C27" s="1" t="s">
        <v>139</v>
      </c>
      <c r="D27" s="1" t="s">
        <v>138</v>
      </c>
      <c r="E27" s="1" t="s">
        <v>137</v>
      </c>
    </row>
    <row r="28" spans="1:5" x14ac:dyDescent="0.2">
      <c r="B28" s="1" t="s">
        <v>136</v>
      </c>
      <c r="C28" s="1" t="s">
        <v>242</v>
      </c>
      <c r="D28" s="1" t="s">
        <v>13</v>
      </c>
      <c r="E28" s="1" t="s">
        <v>241</v>
      </c>
    </row>
    <row r="29" spans="1:5" x14ac:dyDescent="0.2">
      <c r="B29" s="1" t="s">
        <v>135</v>
      </c>
      <c r="C29" s="1" t="s">
        <v>243</v>
      </c>
      <c r="D29" s="1" t="s">
        <v>12</v>
      </c>
      <c r="E29" s="1" t="s">
        <v>244</v>
      </c>
    </row>
    <row r="30" spans="1:5" x14ac:dyDescent="0.2">
      <c r="B30" s="1" t="s">
        <v>134</v>
      </c>
      <c r="C30" s="1" t="s">
        <v>245</v>
      </c>
      <c r="D30" s="1" t="s">
        <v>176</v>
      </c>
      <c r="E30" s="1" t="s">
        <v>246</v>
      </c>
    </row>
    <row r="31" spans="1:5" x14ac:dyDescent="0.2">
      <c r="B31" s="1" t="s">
        <v>133</v>
      </c>
      <c r="C31" s="1" t="s">
        <v>247</v>
      </c>
      <c r="D31" s="1" t="s">
        <v>248</v>
      </c>
      <c r="E31" s="1" t="s">
        <v>249</v>
      </c>
    </row>
    <row r="32" spans="1:5" x14ac:dyDescent="0.2">
      <c r="B32" s="1" t="s">
        <v>132</v>
      </c>
      <c r="C32" s="1" t="s">
        <v>132</v>
      </c>
      <c r="D32" s="1" t="s">
        <v>131</v>
      </c>
      <c r="E32" s="1" t="s">
        <v>130</v>
      </c>
    </row>
    <row r="33" spans="2:5" x14ac:dyDescent="0.2">
      <c r="B33" s="1" t="s">
        <v>129</v>
      </c>
      <c r="C33" s="1" t="s">
        <v>129</v>
      </c>
      <c r="D33" s="1" t="s">
        <v>128</v>
      </c>
      <c r="E33" s="1" t="s">
        <v>127</v>
      </c>
    </row>
    <row r="34" spans="2:5" x14ac:dyDescent="0.2">
      <c r="B34" s="1" t="s">
        <v>256</v>
      </c>
      <c r="C34" s="1" t="s">
        <v>271</v>
      </c>
      <c r="D34" s="1" t="s">
        <v>272</v>
      </c>
      <c r="E34" s="1" t="s">
        <v>305</v>
      </c>
    </row>
    <row r="35" spans="2:5" x14ac:dyDescent="0.2">
      <c r="B35" s="1" t="s">
        <v>257</v>
      </c>
      <c r="C35" s="1" t="s">
        <v>291</v>
      </c>
      <c r="D35" s="1" t="s">
        <v>288</v>
      </c>
      <c r="E35" s="1" t="s">
        <v>290</v>
      </c>
    </row>
    <row r="36" spans="2:5" x14ac:dyDescent="0.2">
      <c r="B36" s="1" t="s">
        <v>125</v>
      </c>
      <c r="C36" s="1" t="s">
        <v>125</v>
      </c>
      <c r="D36" s="1" t="s">
        <v>126</v>
      </c>
      <c r="E36" s="1" t="s">
        <v>125</v>
      </c>
    </row>
    <row r="37" spans="2:5" x14ac:dyDescent="0.2">
      <c r="B37" s="1" t="s">
        <v>124</v>
      </c>
      <c r="C37" s="1" t="s">
        <v>124</v>
      </c>
      <c r="D37" s="1" t="s">
        <v>124</v>
      </c>
      <c r="E37" s="1" t="s">
        <v>123</v>
      </c>
    </row>
    <row r="38" spans="2:5" x14ac:dyDescent="0.2">
      <c r="B38" s="1" t="s">
        <v>122</v>
      </c>
      <c r="C38" s="1" t="s">
        <v>122</v>
      </c>
      <c r="D38" s="1" t="s">
        <v>121</v>
      </c>
      <c r="E38" s="1" t="s">
        <v>120</v>
      </c>
    </row>
    <row r="39" spans="2:5" x14ac:dyDescent="0.2">
      <c r="B39" s="1" t="s">
        <v>119</v>
      </c>
      <c r="C39" s="1" t="s">
        <v>119</v>
      </c>
      <c r="D39" s="1" t="s">
        <v>14</v>
      </c>
      <c r="E39" s="1" t="s">
        <v>118</v>
      </c>
    </row>
    <row r="40" spans="2:5" x14ac:dyDescent="0.2">
      <c r="B40" s="1" t="s">
        <v>117</v>
      </c>
      <c r="C40" s="1" t="s">
        <v>117</v>
      </c>
      <c r="D40" s="1" t="s">
        <v>24</v>
      </c>
      <c r="E40" s="1" t="s">
        <v>116</v>
      </c>
    </row>
    <row r="41" spans="2:5" x14ac:dyDescent="0.2">
      <c r="B41" s="1" t="s">
        <v>114</v>
      </c>
      <c r="C41" s="1" t="s">
        <v>114</v>
      </c>
      <c r="D41" s="1" t="s">
        <v>113</v>
      </c>
      <c r="E41" s="1" t="s">
        <v>112</v>
      </c>
    </row>
    <row r="42" spans="2:5" x14ac:dyDescent="0.2">
      <c r="B42" s="1" t="s">
        <v>110</v>
      </c>
      <c r="C42" s="1" t="s">
        <v>110</v>
      </c>
      <c r="D42" s="1" t="s">
        <v>111</v>
      </c>
      <c r="E42" s="1" t="s">
        <v>110</v>
      </c>
    </row>
    <row r="43" spans="2:5" x14ac:dyDescent="0.2">
      <c r="B43" s="1" t="s">
        <v>109</v>
      </c>
      <c r="C43" s="1" t="s">
        <v>168</v>
      </c>
      <c r="D43" s="1" t="s">
        <v>308</v>
      </c>
      <c r="E43" s="1" t="s">
        <v>309</v>
      </c>
    </row>
    <row r="44" spans="2:5" x14ac:dyDescent="0.2">
      <c r="B44" s="1" t="s">
        <v>108</v>
      </c>
      <c r="C44" s="1" t="s">
        <v>108</v>
      </c>
      <c r="D44" s="1" t="s">
        <v>107</v>
      </c>
      <c r="E44" s="1" t="s">
        <v>106</v>
      </c>
    </row>
    <row r="45" spans="2:5" x14ac:dyDescent="0.2">
      <c r="B45" s="1" t="s">
        <v>105</v>
      </c>
      <c r="C45" s="1" t="s">
        <v>105</v>
      </c>
      <c r="D45" s="1" t="s">
        <v>104</v>
      </c>
      <c r="E45" s="1" t="s">
        <v>103</v>
      </c>
    </row>
    <row r="46" spans="2:5" x14ac:dyDescent="0.2">
      <c r="B46" s="1" t="s">
        <v>102</v>
      </c>
      <c r="C46" s="1" t="s">
        <v>102</v>
      </c>
      <c r="D46" s="1" t="s">
        <v>101</v>
      </c>
      <c r="E46" s="1" t="s">
        <v>100</v>
      </c>
    </row>
    <row r="47" spans="2:5" x14ac:dyDescent="0.2">
      <c r="B47" s="9" t="s">
        <v>19</v>
      </c>
      <c r="C47" s="8" t="s">
        <v>19</v>
      </c>
      <c r="D47" s="8" t="s">
        <v>99</v>
      </c>
      <c r="E47" s="8" t="s">
        <v>98</v>
      </c>
    </row>
    <row r="48" spans="2:5" x14ac:dyDescent="0.2">
      <c r="B48" s="8" t="s">
        <v>21</v>
      </c>
      <c r="C48" s="8" t="s">
        <v>21</v>
      </c>
      <c r="D48" s="8" t="s">
        <v>97</v>
      </c>
      <c r="E48" s="8" t="s">
        <v>96</v>
      </c>
    </row>
    <row r="49" spans="1:5" s="10" customFormat="1" ht="90" x14ac:dyDescent="0.25">
      <c r="B49" s="10" t="s">
        <v>95</v>
      </c>
      <c r="C49" s="8" t="s">
        <v>18</v>
      </c>
      <c r="D49" s="8" t="s">
        <v>94</v>
      </c>
      <c r="E49" s="8" t="s">
        <v>93</v>
      </c>
    </row>
    <row r="50" spans="1:5" s="10" customFormat="1" ht="33.75" x14ac:dyDescent="0.25">
      <c r="B50" s="10" t="s">
        <v>285</v>
      </c>
      <c r="C50" s="8" t="s">
        <v>287</v>
      </c>
      <c r="D50" s="8" t="s">
        <v>286</v>
      </c>
      <c r="E50" s="8" t="s">
        <v>289</v>
      </c>
    </row>
    <row r="51" spans="1:5" s="10" customFormat="1" x14ac:dyDescent="0.25">
      <c r="B51" s="10" t="s">
        <v>292</v>
      </c>
      <c r="C51" s="8" t="s">
        <v>189</v>
      </c>
      <c r="D51" s="8" t="s">
        <v>189</v>
      </c>
      <c r="E51" s="8" t="s">
        <v>189</v>
      </c>
    </row>
    <row r="52" spans="1:5" s="10" customFormat="1" x14ac:dyDescent="0.25">
      <c r="B52" s="10" t="s">
        <v>269</v>
      </c>
      <c r="C52" s="8" t="s">
        <v>270</v>
      </c>
      <c r="D52" s="8" t="s">
        <v>270</v>
      </c>
      <c r="E52" s="8" t="s">
        <v>270</v>
      </c>
    </row>
    <row r="53" spans="1:5" s="10" customFormat="1" x14ac:dyDescent="0.25">
      <c r="B53" s="10" t="s">
        <v>293</v>
      </c>
      <c r="C53" s="8" t="s">
        <v>294</v>
      </c>
      <c r="D53" s="8" t="s">
        <v>190</v>
      </c>
      <c r="E53" s="8" t="s">
        <v>297</v>
      </c>
    </row>
    <row r="54" spans="1:5" s="10" customFormat="1" x14ac:dyDescent="0.25">
      <c r="B54" s="10" t="s">
        <v>268</v>
      </c>
      <c r="C54" s="8" t="s">
        <v>299</v>
      </c>
      <c r="D54" s="8" t="s">
        <v>177</v>
      </c>
      <c r="E54" s="8" t="s">
        <v>296</v>
      </c>
    </row>
    <row r="55" spans="1:5" s="10" customFormat="1" x14ac:dyDescent="0.25">
      <c r="B55" s="10" t="s">
        <v>173</v>
      </c>
      <c r="C55" s="8" t="s">
        <v>300</v>
      </c>
      <c r="D55" s="8" t="s">
        <v>178</v>
      </c>
      <c r="E55" s="8" t="s">
        <v>295</v>
      </c>
    </row>
    <row r="56" spans="1:5" x14ac:dyDescent="0.2">
      <c r="B56" s="1" t="s">
        <v>267</v>
      </c>
      <c r="C56" s="1" t="s">
        <v>179</v>
      </c>
      <c r="D56" s="1" t="s">
        <v>179</v>
      </c>
      <c r="E56" s="1" t="s">
        <v>298</v>
      </c>
    </row>
    <row r="58" spans="1:5" s="4" customFormat="1" x14ac:dyDescent="0.2">
      <c r="A58" s="4" t="s">
        <v>92</v>
      </c>
    </row>
    <row r="59" spans="1:5" x14ac:dyDescent="0.2">
      <c r="B59" s="1" t="s">
        <v>47</v>
      </c>
      <c r="C59" s="1" t="s">
        <v>91</v>
      </c>
      <c r="D59" s="1" t="s">
        <v>90</v>
      </c>
      <c r="E59" s="1" t="s">
        <v>89</v>
      </c>
    </row>
    <row r="60" spans="1:5" ht="41.25" customHeight="1" x14ac:dyDescent="0.2">
      <c r="B60" s="9" t="s">
        <v>52</v>
      </c>
      <c r="C60" s="8" t="s">
        <v>84</v>
      </c>
      <c r="D60" s="8" t="s">
        <v>83</v>
      </c>
      <c r="E60" s="8" t="s">
        <v>82</v>
      </c>
    </row>
    <row r="61" spans="1:5" ht="41.25" customHeight="1" x14ac:dyDescent="0.2">
      <c r="B61" s="9" t="s">
        <v>81</v>
      </c>
      <c r="C61" s="8" t="s">
        <v>80</v>
      </c>
      <c r="D61" s="8" t="s">
        <v>79</v>
      </c>
      <c r="E61" s="8" t="s">
        <v>78</v>
      </c>
    </row>
    <row r="62" spans="1:5" x14ac:dyDescent="0.2">
      <c r="B62" s="9"/>
      <c r="C62" s="8"/>
      <c r="D62" s="8"/>
      <c r="E62" s="8"/>
    </row>
    <row r="63" spans="1:5" s="4" customFormat="1" x14ac:dyDescent="0.2">
      <c r="A63" s="4" t="s">
        <v>88</v>
      </c>
    </row>
    <row r="64" spans="1:5" x14ac:dyDescent="0.2">
      <c r="B64" s="1" t="s">
        <v>47</v>
      </c>
      <c r="C64" s="1" t="s">
        <v>87</v>
      </c>
      <c r="D64" s="1" t="s">
        <v>86</v>
      </c>
      <c r="E64" s="1" t="s">
        <v>85</v>
      </c>
    </row>
    <row r="65" spans="1:5" ht="41.25" customHeight="1" x14ac:dyDescent="0.2">
      <c r="B65" s="9" t="s">
        <v>52</v>
      </c>
      <c r="C65" s="8" t="s">
        <v>84</v>
      </c>
      <c r="D65" s="8" t="s">
        <v>83</v>
      </c>
      <c r="E65" s="8" t="s">
        <v>82</v>
      </c>
    </row>
    <row r="66" spans="1:5" ht="41.25" customHeight="1" x14ac:dyDescent="0.2">
      <c r="B66" s="9" t="s">
        <v>81</v>
      </c>
      <c r="C66" s="8" t="s">
        <v>80</v>
      </c>
      <c r="D66" s="8" t="s">
        <v>79</v>
      </c>
      <c r="E66" s="8" t="s">
        <v>78</v>
      </c>
    </row>
    <row r="68" spans="1:5" s="4" customFormat="1" x14ac:dyDescent="0.2">
      <c r="A68" s="4" t="s">
        <v>77</v>
      </c>
    </row>
    <row r="69" spans="1:5" x14ac:dyDescent="0.2">
      <c r="B69" s="1" t="s">
        <v>47</v>
      </c>
      <c r="C69" s="1" t="s">
        <v>76</v>
      </c>
      <c r="D69" s="1" t="s">
        <v>76</v>
      </c>
      <c r="E69" s="1" t="s">
        <v>76</v>
      </c>
    </row>
    <row r="70" spans="1:5" ht="41.25" customHeight="1" x14ac:dyDescent="0.2">
      <c r="B70" s="9" t="s">
        <v>41</v>
      </c>
      <c r="C70" s="8" t="s">
        <v>40</v>
      </c>
      <c r="D70" s="8" t="s">
        <v>39</v>
      </c>
      <c r="E70" s="8" t="s">
        <v>38</v>
      </c>
    </row>
    <row r="71" spans="1:5" ht="41.25" customHeight="1" x14ac:dyDescent="0.2">
      <c r="B71" s="9" t="s">
        <v>37</v>
      </c>
      <c r="C71" s="8" t="s">
        <v>75</v>
      </c>
      <c r="D71" s="8" t="s">
        <v>74</v>
      </c>
      <c r="E71" s="8" t="s">
        <v>73</v>
      </c>
    </row>
    <row r="72" spans="1:5" x14ac:dyDescent="0.2">
      <c r="B72" s="1" t="s">
        <v>304</v>
      </c>
      <c r="C72" s="1" t="s">
        <v>301</v>
      </c>
      <c r="D72" s="1" t="s">
        <v>302</v>
      </c>
      <c r="E72" s="1" t="s">
        <v>303</v>
      </c>
    </row>
    <row r="75" spans="1:5" s="4" customFormat="1" x14ac:dyDescent="0.2">
      <c r="A75" s="4" t="s">
        <v>72</v>
      </c>
    </row>
    <row r="76" spans="1:5" x14ac:dyDescent="0.2">
      <c r="B76" s="1" t="s">
        <v>47</v>
      </c>
      <c r="C76" s="1" t="s">
        <v>70</v>
      </c>
      <c r="D76" s="1" t="s">
        <v>71</v>
      </c>
      <c r="E76" s="1" t="s">
        <v>70</v>
      </c>
    </row>
    <row r="77" spans="1:5" ht="45" x14ac:dyDescent="0.2">
      <c r="B77" s="1" t="s">
        <v>52</v>
      </c>
      <c r="C77" s="7" t="s">
        <v>69</v>
      </c>
      <c r="D77" s="7" t="s">
        <v>68</v>
      </c>
      <c r="E77" s="7" t="s">
        <v>67</v>
      </c>
    </row>
    <row r="79" spans="1:5" s="4" customFormat="1" x14ac:dyDescent="0.2">
      <c r="A79" s="4" t="s">
        <v>66</v>
      </c>
    </row>
    <row r="80" spans="1:5" x14ac:dyDescent="0.2">
      <c r="B80" s="1" t="s">
        <v>47</v>
      </c>
      <c r="C80" s="1" t="s">
        <v>65</v>
      </c>
      <c r="D80" s="1" t="s">
        <v>65</v>
      </c>
      <c r="E80" s="1" t="s">
        <v>65</v>
      </c>
    </row>
    <row r="81" spans="1:5" x14ac:dyDescent="0.2">
      <c r="B81" s="1" t="s">
        <v>63</v>
      </c>
      <c r="C81" s="1" t="s">
        <v>64</v>
      </c>
      <c r="D81" s="1" t="s">
        <v>64</v>
      </c>
      <c r="E81" s="1" t="s">
        <v>64</v>
      </c>
    </row>
    <row r="82" spans="1:5" x14ac:dyDescent="0.2">
      <c r="B82" s="1" t="s">
        <v>63</v>
      </c>
      <c r="C82" s="1" t="s">
        <v>62</v>
      </c>
      <c r="D82" s="1" t="s">
        <v>62</v>
      </c>
      <c r="E82" s="1" t="s">
        <v>62</v>
      </c>
    </row>
    <row r="83" spans="1:5" ht="41.25" customHeight="1" x14ac:dyDescent="0.2">
      <c r="B83" s="9" t="s">
        <v>41</v>
      </c>
      <c r="C83" s="8" t="s">
        <v>61</v>
      </c>
      <c r="D83" s="8" t="s">
        <v>60</v>
      </c>
      <c r="E83" s="8" t="s">
        <v>59</v>
      </c>
    </row>
    <row r="84" spans="1:5" ht="67.5" x14ac:dyDescent="0.2">
      <c r="B84" s="9" t="s">
        <v>37</v>
      </c>
      <c r="C84" s="8" t="s">
        <v>58</v>
      </c>
      <c r="D84" s="8" t="s">
        <v>57</v>
      </c>
      <c r="E84" s="8" t="s">
        <v>56</v>
      </c>
    </row>
    <row r="86" spans="1:5" s="4" customFormat="1" x14ac:dyDescent="0.2">
      <c r="A86" s="4" t="s">
        <v>55</v>
      </c>
    </row>
    <row r="87" spans="1:5" x14ac:dyDescent="0.2">
      <c r="B87" s="1" t="s">
        <v>47</v>
      </c>
      <c r="C87" s="1" t="s">
        <v>53</v>
      </c>
      <c r="D87" s="1" t="s">
        <v>54</v>
      </c>
      <c r="E87" s="1" t="s">
        <v>53</v>
      </c>
    </row>
    <row r="88" spans="1:5" ht="33.75" x14ac:dyDescent="0.2">
      <c r="B88" s="1" t="s">
        <v>52</v>
      </c>
      <c r="C88" s="7" t="s">
        <v>51</v>
      </c>
      <c r="D88" s="7" t="s">
        <v>50</v>
      </c>
      <c r="E88" s="7" t="s">
        <v>49</v>
      </c>
    </row>
    <row r="90" spans="1:5" s="4" customFormat="1" x14ac:dyDescent="0.2">
      <c r="A90" s="4" t="s">
        <v>48</v>
      </c>
    </row>
    <row r="91" spans="1:5" x14ac:dyDescent="0.2">
      <c r="B91" s="1" t="s">
        <v>47</v>
      </c>
      <c r="C91" s="1" t="s">
        <v>46</v>
      </c>
      <c r="D91" s="1" t="s">
        <v>46</v>
      </c>
      <c r="E91" s="1" t="s">
        <v>46</v>
      </c>
    </row>
    <row r="92" spans="1:5" x14ac:dyDescent="0.2">
      <c r="B92" s="1" t="s">
        <v>45</v>
      </c>
      <c r="C92" s="1" t="s">
        <v>44</v>
      </c>
      <c r="D92" s="1" t="s">
        <v>43</v>
      </c>
      <c r="E92" s="1" t="s">
        <v>42</v>
      </c>
    </row>
    <row r="93" spans="1:5" ht="41.25" customHeight="1" x14ac:dyDescent="0.2">
      <c r="B93" s="9" t="s">
        <v>41</v>
      </c>
      <c r="C93" s="8" t="s">
        <v>40</v>
      </c>
      <c r="D93" s="8" t="s">
        <v>39</v>
      </c>
      <c r="E93" s="8" t="s">
        <v>38</v>
      </c>
    </row>
    <row r="94" spans="1:5" ht="45" x14ac:dyDescent="0.2">
      <c r="B94" s="1" t="s">
        <v>37</v>
      </c>
      <c r="C94" s="7" t="s">
        <v>36</v>
      </c>
      <c r="D94" s="7" t="s">
        <v>35</v>
      </c>
      <c r="E94" s="7" t="s">
        <v>34</v>
      </c>
    </row>
  </sheetData>
  <pageMargins left="0.7" right="0.7" top="0.75" bottom="0.75" header="0.3" footer="0.3"/>
  <pageSetup paperSize="9" orientation="portrait" verticalDpi="599"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FAE3-F985-4732-A8D7-B4BDFFAE4A6E}">
  <dimension ref="A1:HD462"/>
  <sheetViews>
    <sheetView workbookViewId="0"/>
  </sheetViews>
  <sheetFormatPr defaultRowHeight="15" customHeight="1" x14ac:dyDescent="0.2"/>
  <cols>
    <col min="1" max="7" width="0.42578125" style="13" customWidth="1"/>
    <col min="8" max="13" width="1" style="13" customWidth="1"/>
    <col min="14" max="17" width="0.42578125" style="13" customWidth="1"/>
    <col min="18" max="18" width="1" style="13" customWidth="1"/>
    <col min="19" max="19" width="0.42578125" style="13" customWidth="1"/>
    <col min="20" max="22" width="1" style="13" customWidth="1"/>
    <col min="23" max="26" width="0.42578125" style="13" customWidth="1"/>
    <col min="27" max="27" width="1" style="13" customWidth="1"/>
    <col min="28" max="28" width="0.42578125" style="13" customWidth="1"/>
    <col min="29" max="29" width="1" style="13" customWidth="1"/>
    <col min="30" max="30" width="0.42578125" style="13" customWidth="1"/>
    <col min="31" max="33" width="1" style="13" customWidth="1"/>
    <col min="34" max="37" width="0.42578125" style="13" customWidth="1"/>
    <col min="38" max="38" width="1" style="13" customWidth="1"/>
    <col min="39" max="39" width="0.42578125" style="13" customWidth="1"/>
    <col min="40" max="40" width="1" style="13" customWidth="1"/>
    <col min="41" max="41" width="0.42578125" style="13" customWidth="1"/>
    <col min="42" max="44" width="1" style="13" customWidth="1"/>
    <col min="45" max="48" width="0.42578125" style="13" customWidth="1"/>
    <col min="49" max="49" width="1" style="13" customWidth="1"/>
    <col min="50" max="50" width="0.42578125" style="13" customWidth="1"/>
    <col min="51" max="51" width="1" style="13" customWidth="1"/>
    <col min="52" max="52" width="0.42578125" style="13" customWidth="1"/>
    <col min="53" max="53" width="1" style="13" customWidth="1"/>
    <col min="54" max="54" width="0.42578125" style="13" customWidth="1"/>
    <col min="55" max="55" width="1" style="13" customWidth="1"/>
    <col min="56" max="56" width="0.42578125" style="13" customWidth="1"/>
    <col min="57" max="69" width="1" style="13" customWidth="1"/>
    <col min="70" max="105" width="0.42578125" style="21" customWidth="1"/>
    <col min="106" max="106" width="0.7109375" style="21" customWidth="1"/>
    <col min="107" max="107" width="1" style="21" customWidth="1"/>
    <col min="108" max="108" width="0.42578125" style="21" customWidth="1"/>
    <col min="109" max="112" width="9.140625" style="21"/>
    <col min="113" max="171" width="0.42578125" style="21" customWidth="1"/>
    <col min="172" max="205" width="0.42578125" style="1" customWidth="1"/>
    <col min="206" max="16384" width="9.140625" style="1"/>
  </cols>
  <sheetData>
    <row r="1" spans="1:171" s="13" customFormat="1" ht="11.1"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row>
    <row r="2" spans="1:171" ht="11.1"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row>
    <row r="3" spans="1:171" s="13" customFormat="1" ht="3" customHeight="1" thickBo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row>
    <row r="4" spans="1:171" ht="11.1" customHeight="1" x14ac:dyDescent="0.2">
      <c r="A4" s="21"/>
      <c r="B4" s="21"/>
      <c r="C4" s="21"/>
      <c r="D4" s="21"/>
      <c r="E4" s="43"/>
      <c r="F4" s="21"/>
      <c r="G4" s="44"/>
      <c r="H4" s="35"/>
      <c r="I4" s="21"/>
      <c r="J4" s="36"/>
      <c r="K4" s="21"/>
      <c r="L4" s="21"/>
      <c r="M4" s="21"/>
      <c r="N4" s="21"/>
      <c r="O4" s="43"/>
      <c r="P4" s="21"/>
      <c r="Q4" s="44"/>
      <c r="R4" s="35"/>
      <c r="S4" s="44"/>
      <c r="T4" s="21"/>
      <c r="U4" s="36"/>
      <c r="V4" s="21"/>
      <c r="W4" s="21"/>
      <c r="X4" s="43"/>
      <c r="Y4" s="21"/>
      <c r="Z4" s="44"/>
      <c r="AA4" s="35"/>
      <c r="AB4" s="37"/>
      <c r="AC4" s="38"/>
      <c r="AD4" s="44"/>
      <c r="AE4" s="21"/>
      <c r="AF4" s="36"/>
      <c r="AG4" s="21"/>
      <c r="AH4" s="21"/>
      <c r="AI4" s="43"/>
      <c r="AJ4" s="21"/>
      <c r="AK4" s="44"/>
      <c r="AL4" s="35"/>
      <c r="AM4" s="44"/>
      <c r="AN4" s="38"/>
      <c r="AO4" s="44"/>
      <c r="AP4" s="21"/>
      <c r="AQ4" s="36"/>
      <c r="AR4" s="21"/>
      <c r="AS4" s="21"/>
      <c r="AT4" s="43"/>
      <c r="AU4" s="21"/>
      <c r="AV4" s="44"/>
      <c r="AW4" s="35"/>
      <c r="AX4" s="37"/>
      <c r="AY4" s="38"/>
      <c r="AZ4" s="44"/>
      <c r="BA4" s="35"/>
      <c r="BB4" s="37"/>
      <c r="BC4" s="38"/>
      <c r="BD4" s="44"/>
      <c r="BE4" s="21"/>
      <c r="BF4" s="36"/>
      <c r="BG4" s="21"/>
      <c r="BH4" s="21"/>
      <c r="BI4" s="21"/>
      <c r="BJ4" s="21"/>
      <c r="BK4" s="21"/>
      <c r="BL4" s="21"/>
      <c r="BM4" s="21"/>
      <c r="BN4" s="21"/>
      <c r="BO4" s="21"/>
      <c r="BP4" s="21"/>
      <c r="BQ4" s="21"/>
      <c r="CW4" s="44"/>
      <c r="CY4" s="44"/>
      <c r="DA4" s="44"/>
      <c r="DC4" s="36"/>
    </row>
    <row r="5" spans="1:171" s="13" customFormat="1" ht="3" customHeight="1" x14ac:dyDescent="0.2">
      <c r="A5" s="21"/>
      <c r="B5" s="21"/>
      <c r="C5" s="21"/>
      <c r="D5" s="21"/>
      <c r="E5" s="21"/>
      <c r="F5" s="21"/>
      <c r="G5" s="21"/>
      <c r="H5" s="21"/>
      <c r="I5" s="21"/>
      <c r="J5" s="39"/>
      <c r="K5" s="21"/>
      <c r="L5" s="21"/>
      <c r="M5" s="21"/>
      <c r="N5" s="21"/>
      <c r="O5" s="21"/>
      <c r="P5" s="21"/>
      <c r="Q5" s="21"/>
      <c r="R5" s="21"/>
      <c r="S5" s="21"/>
      <c r="T5" s="21"/>
      <c r="U5" s="39"/>
      <c r="V5" s="21"/>
      <c r="W5" s="21"/>
      <c r="X5" s="21"/>
      <c r="Y5" s="21"/>
      <c r="Z5" s="21"/>
      <c r="AA5" s="21"/>
      <c r="AB5" s="21"/>
      <c r="AC5" s="21"/>
      <c r="AD5" s="21"/>
      <c r="AE5" s="21"/>
      <c r="AF5" s="39"/>
      <c r="AG5" s="21"/>
      <c r="AH5" s="21"/>
      <c r="AI5" s="21"/>
      <c r="AJ5" s="21"/>
      <c r="AK5" s="21"/>
      <c r="AL5" s="21"/>
      <c r="AM5" s="21"/>
      <c r="AN5" s="21"/>
      <c r="AO5" s="21"/>
      <c r="AP5" s="21"/>
      <c r="AQ5" s="39"/>
      <c r="AR5" s="21"/>
      <c r="AS5" s="21"/>
      <c r="AT5" s="21"/>
      <c r="AU5" s="21"/>
      <c r="AV5" s="21"/>
      <c r="AW5" s="21"/>
      <c r="AX5" s="21"/>
      <c r="AY5" s="21"/>
      <c r="AZ5" s="21"/>
      <c r="BA5" s="21"/>
      <c r="BB5" s="21"/>
      <c r="BC5" s="21"/>
      <c r="BD5" s="21"/>
      <c r="BE5" s="21"/>
      <c r="BF5" s="39"/>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row>
    <row r="6" spans="1:171" s="21" customFormat="1" ht="12" customHeight="1" x14ac:dyDescent="0.2">
      <c r="J6" s="39"/>
      <c r="U6" s="39"/>
      <c r="AF6" s="39"/>
      <c r="AQ6" s="39"/>
      <c r="BF6" s="39"/>
      <c r="DC6" s="39"/>
    </row>
    <row r="7" spans="1:171" s="13" customFormat="1" ht="3" customHeight="1" thickBot="1"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row>
    <row r="8" spans="1:171" ht="11.1" customHeight="1" x14ac:dyDescent="0.2">
      <c r="A8" s="21"/>
      <c r="B8" s="21"/>
      <c r="C8" s="21"/>
      <c r="D8" s="21"/>
      <c r="E8" s="21"/>
      <c r="F8" s="21"/>
      <c r="G8" s="44"/>
      <c r="H8" s="35"/>
      <c r="I8" s="21"/>
      <c r="J8" s="36"/>
      <c r="K8" s="21"/>
      <c r="L8" s="21"/>
      <c r="M8" s="21"/>
      <c r="N8" s="21"/>
      <c r="O8" s="21"/>
      <c r="P8" s="21"/>
      <c r="Q8" s="44"/>
      <c r="R8" s="35"/>
      <c r="S8" s="44"/>
      <c r="T8" s="21"/>
      <c r="U8" s="36"/>
      <c r="V8" s="21"/>
      <c r="W8" s="21"/>
      <c r="X8" s="21"/>
      <c r="Y8" s="21"/>
      <c r="Z8" s="44"/>
      <c r="AA8" s="35"/>
      <c r="AB8" s="37"/>
      <c r="AC8" s="38"/>
      <c r="AD8" s="44"/>
      <c r="AE8" s="21"/>
      <c r="AF8" s="36"/>
      <c r="AG8" s="21"/>
      <c r="AH8" s="21"/>
      <c r="AI8" s="21"/>
      <c r="AJ8" s="21"/>
      <c r="AK8" s="44"/>
      <c r="AL8" s="35"/>
      <c r="AM8" s="44"/>
      <c r="AN8" s="38"/>
      <c r="AO8" s="44"/>
      <c r="AP8" s="21"/>
      <c r="AQ8" s="36"/>
      <c r="AR8" s="21"/>
      <c r="AS8" s="21"/>
      <c r="AT8" s="21"/>
      <c r="AU8" s="21"/>
      <c r="AV8" s="44"/>
      <c r="AW8" s="35"/>
      <c r="AX8" s="37"/>
      <c r="AY8" s="38"/>
      <c r="AZ8" s="44"/>
      <c r="BA8" s="35"/>
      <c r="BB8" s="37"/>
      <c r="BC8" s="38"/>
      <c r="BD8" s="44"/>
      <c r="BE8" s="21"/>
      <c r="BF8" s="36"/>
      <c r="BG8" s="21"/>
      <c r="BH8" s="21"/>
      <c r="BI8" s="21"/>
      <c r="BJ8" s="21"/>
      <c r="BK8" s="21"/>
      <c r="BL8" s="21"/>
      <c r="BM8" s="21"/>
      <c r="BN8" s="21"/>
      <c r="BO8" s="21"/>
      <c r="BP8" s="21"/>
      <c r="BQ8" s="21"/>
      <c r="CU8" s="44"/>
      <c r="CW8" s="44"/>
      <c r="CY8" s="44"/>
      <c r="DA8" s="44"/>
      <c r="DC8" s="36"/>
    </row>
    <row r="9" spans="1:171" s="13" customFormat="1" ht="3" customHeight="1" x14ac:dyDescent="0.2">
      <c r="A9" s="21"/>
      <c r="B9" s="21"/>
      <c r="C9" s="21"/>
      <c r="D9" s="21"/>
      <c r="E9" s="21"/>
      <c r="F9" s="21"/>
      <c r="G9" s="21"/>
      <c r="H9" s="21"/>
      <c r="I9" s="21"/>
      <c r="J9" s="39"/>
      <c r="K9" s="21"/>
      <c r="L9" s="21"/>
      <c r="M9" s="21"/>
      <c r="N9" s="21"/>
      <c r="O9" s="21"/>
      <c r="P9" s="21"/>
      <c r="Q9" s="21"/>
      <c r="R9" s="21"/>
      <c r="S9" s="21"/>
      <c r="T9" s="21"/>
      <c r="U9" s="39"/>
      <c r="V9" s="21"/>
      <c r="W9" s="21"/>
      <c r="X9" s="21"/>
      <c r="Y9" s="21"/>
      <c r="Z9" s="21"/>
      <c r="AA9" s="21"/>
      <c r="AB9" s="21"/>
      <c r="AC9" s="21"/>
      <c r="AD9" s="21"/>
      <c r="AE9" s="21"/>
      <c r="AF9" s="39"/>
      <c r="AG9" s="21"/>
      <c r="AH9" s="21"/>
      <c r="AI9" s="21"/>
      <c r="AJ9" s="21"/>
      <c r="AK9" s="21"/>
      <c r="AL9" s="21"/>
      <c r="AM9" s="21"/>
      <c r="AN9" s="21"/>
      <c r="AO9" s="21"/>
      <c r="AP9" s="21"/>
      <c r="AQ9" s="39"/>
      <c r="AR9" s="21"/>
      <c r="AS9" s="21"/>
      <c r="AT9" s="21"/>
      <c r="AU9" s="21"/>
      <c r="AV9" s="21"/>
      <c r="AW9" s="21"/>
      <c r="AX9" s="21"/>
      <c r="AY9" s="21"/>
      <c r="AZ9" s="21"/>
      <c r="BA9" s="21"/>
      <c r="BB9" s="21"/>
      <c r="BC9" s="21"/>
      <c r="BD9" s="21"/>
      <c r="BE9" s="21"/>
      <c r="BF9" s="39"/>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c r="FO9" s="21"/>
    </row>
    <row r="10" spans="1:171" s="21" customFormat="1" ht="12" customHeight="1" x14ac:dyDescent="0.2">
      <c r="J10" s="39"/>
      <c r="U10" s="39"/>
      <c r="AF10" s="39"/>
      <c r="AQ10" s="39"/>
      <c r="BF10" s="39"/>
      <c r="DC10" s="39"/>
    </row>
    <row r="11" spans="1:171" s="13" customFormat="1" ht="3" customHeight="1" x14ac:dyDescent="0.2">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row>
    <row r="12" spans="1:171" ht="11.1" customHeight="1" x14ac:dyDescent="0.2">
      <c r="A12" s="21"/>
      <c r="B12" s="21"/>
      <c r="C12" s="21"/>
      <c r="D12" s="21"/>
      <c r="E12" s="21"/>
      <c r="F12" s="21"/>
      <c r="G12" s="44"/>
      <c r="H12" s="40"/>
      <c r="I12" s="36"/>
      <c r="J12" s="21"/>
      <c r="K12" s="21"/>
      <c r="L12" s="21"/>
      <c r="M12" s="21"/>
      <c r="N12" s="21"/>
      <c r="O12" s="21"/>
      <c r="P12" s="21"/>
      <c r="Q12" s="44"/>
      <c r="R12" s="40"/>
      <c r="S12" s="44"/>
      <c r="T12" s="21"/>
      <c r="U12" s="36"/>
      <c r="V12" s="21"/>
      <c r="W12" s="21"/>
      <c r="X12" s="21"/>
      <c r="Y12" s="21"/>
      <c r="Z12" s="44"/>
      <c r="AA12" s="40"/>
      <c r="AB12" s="21"/>
      <c r="AC12" s="41"/>
      <c r="AD12" s="44"/>
      <c r="AE12" s="21"/>
      <c r="AF12" s="36"/>
      <c r="AG12" s="21"/>
      <c r="AH12" s="21"/>
      <c r="AI12" s="21"/>
      <c r="AJ12" s="21"/>
      <c r="AK12" s="44"/>
      <c r="AL12" s="40"/>
      <c r="AM12" s="44"/>
      <c r="AN12" s="42"/>
      <c r="AO12" s="44"/>
      <c r="AP12" s="21"/>
      <c r="AQ12" s="36"/>
      <c r="AR12" s="21"/>
      <c r="AS12" s="21"/>
      <c r="AT12" s="21"/>
      <c r="AU12" s="21"/>
      <c r="AV12" s="44"/>
      <c r="AW12" s="40"/>
      <c r="AX12" s="21"/>
      <c r="AY12" s="41"/>
      <c r="AZ12" s="44"/>
      <c r="BA12" s="40"/>
      <c r="BB12" s="21"/>
      <c r="BC12" s="41"/>
      <c r="BD12" s="44"/>
      <c r="BE12" s="21"/>
      <c r="BF12" s="36"/>
      <c r="BG12" s="21"/>
      <c r="BH12" s="21"/>
      <c r="BI12" s="21"/>
      <c r="BJ12" s="21"/>
      <c r="BK12" s="21"/>
      <c r="BL12" s="21"/>
      <c r="BM12" s="21"/>
      <c r="BN12" s="21"/>
      <c r="BO12" s="21"/>
      <c r="BP12" s="21"/>
      <c r="BQ12" s="21"/>
      <c r="CS12" s="44"/>
      <c r="CU12" s="44"/>
      <c r="CW12" s="44"/>
      <c r="CY12" s="44"/>
      <c r="DA12" s="44"/>
      <c r="DC12" s="36"/>
    </row>
    <row r="13" spans="1:171" s="13" customFormat="1" ht="3" customHeight="1" x14ac:dyDescent="0.2">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row>
    <row r="14" spans="1:171" s="21" customFormat="1" ht="12" customHeight="1" x14ac:dyDescent="0.2">
      <c r="DC14" s="39"/>
    </row>
    <row r="15" spans="1:171" s="13" customFormat="1" ht="3" customHeight="1" x14ac:dyDescent="0.2">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row>
    <row r="16" spans="1:171" s="13" customFormat="1" ht="11.1" customHeight="1" x14ac:dyDescent="0.2">
      <c r="A16" s="21"/>
      <c r="B16" s="21"/>
      <c r="C16" s="21"/>
      <c r="D16" s="21"/>
      <c r="E16" s="21"/>
      <c r="F16" s="21"/>
      <c r="G16" s="45"/>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44"/>
      <c r="CR16" s="21"/>
      <c r="CS16" s="44"/>
      <c r="CT16" s="21"/>
      <c r="CU16" s="44"/>
      <c r="CV16" s="21"/>
      <c r="CW16" s="44"/>
      <c r="CX16" s="21"/>
      <c r="CY16" s="44"/>
      <c r="CZ16" s="21"/>
      <c r="DA16" s="44"/>
      <c r="DB16" s="21"/>
      <c r="DC16" s="36"/>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row>
    <row r="17" spans="1:171" s="13" customFormat="1" ht="3"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row>
    <row r="18" spans="1:171" s="21" customFormat="1" ht="8.25" customHeight="1" x14ac:dyDescent="0.2">
      <c r="DC18" s="39"/>
    </row>
    <row r="19" spans="1:171" s="13" customFormat="1" ht="3"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row>
    <row r="20" spans="1:171" s="13" customFormat="1" ht="11.1" customHeight="1" x14ac:dyDescent="0.2">
      <c r="A20" s="21"/>
      <c r="B20" s="21"/>
      <c r="C20" s="21"/>
      <c r="D20" s="21"/>
      <c r="E20" s="21"/>
      <c r="F20" s="21"/>
      <c r="G20" s="44"/>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44"/>
      <c r="CP20" s="21"/>
      <c r="CQ20" s="44"/>
      <c r="CR20" s="21"/>
      <c r="CS20" s="44"/>
      <c r="CT20" s="21"/>
      <c r="CU20" s="44"/>
      <c r="CV20" s="21"/>
      <c r="CW20" s="44"/>
      <c r="CX20" s="21"/>
      <c r="CY20" s="44"/>
      <c r="CZ20" s="21"/>
      <c r="DA20" s="44"/>
      <c r="DB20" s="21"/>
      <c r="DC20" s="36"/>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row>
    <row r="21" spans="1:171" s="13" customFormat="1" ht="3" customHeight="1" x14ac:dyDescent="0.2">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row>
    <row r="22" spans="1:171" s="21" customFormat="1" ht="11.1" customHeight="1" x14ac:dyDescent="0.2">
      <c r="DC22" s="39"/>
    </row>
    <row r="23" spans="1:171" s="13" customFormat="1" ht="3" customHeight="1" thickBo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row>
    <row r="24" spans="1:171" s="13" customFormat="1" ht="11.1" customHeight="1" x14ac:dyDescent="0.2">
      <c r="A24" s="21"/>
      <c r="B24" s="21"/>
      <c r="C24" s="21"/>
      <c r="D24" s="21"/>
      <c r="E24" s="21"/>
      <c r="F24" s="21"/>
      <c r="G24" s="21"/>
      <c r="H24" s="37"/>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44"/>
      <c r="CN24" s="21"/>
      <c r="CO24" s="44"/>
      <c r="CP24" s="21"/>
      <c r="CQ24" s="44"/>
      <c r="CR24" s="21"/>
      <c r="CS24" s="44"/>
      <c r="CT24" s="21"/>
      <c r="CU24" s="44"/>
      <c r="CV24" s="21"/>
      <c r="CW24" s="44"/>
      <c r="CX24" s="21"/>
      <c r="CY24" s="44"/>
      <c r="CZ24" s="21"/>
      <c r="DA24" s="44"/>
      <c r="DB24" s="21"/>
      <c r="DC24" s="36"/>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row>
    <row r="25" spans="1:171" s="13" customFormat="1" ht="3"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row>
    <row r="26" spans="1:171" s="21" customFormat="1" ht="11.1" customHeight="1" x14ac:dyDescent="0.2">
      <c r="I26" s="39"/>
      <c r="DC26" s="39"/>
    </row>
    <row r="27" spans="1:171" s="13" customFormat="1" ht="3"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row>
    <row r="28" spans="1:171" s="13" customFormat="1" ht="11.1"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44"/>
      <c r="CL28" s="21"/>
      <c r="CM28" s="44"/>
      <c r="CN28" s="21"/>
      <c r="CO28" s="44"/>
      <c r="CP28" s="21"/>
      <c r="CQ28" s="44"/>
      <c r="CR28" s="21"/>
      <c r="CS28" s="44"/>
      <c r="CT28" s="21"/>
      <c r="CU28" s="44"/>
      <c r="CV28" s="21"/>
      <c r="CW28" s="44"/>
      <c r="CX28" s="21"/>
      <c r="CY28" s="44"/>
      <c r="CZ28" s="21"/>
      <c r="DA28" s="44"/>
      <c r="DB28" s="21"/>
      <c r="DC28" s="36"/>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row>
    <row r="29" spans="1:171" s="13" customFormat="1" ht="3"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row>
    <row r="30" spans="1:171" s="21" customFormat="1" ht="11.1" customHeight="1" x14ac:dyDescent="0.2">
      <c r="DC30" s="39"/>
    </row>
    <row r="31" spans="1:171" s="13" customFormat="1" ht="3"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row>
    <row r="32" spans="1:171" s="13" customFormat="1" ht="11.1"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44"/>
      <c r="CJ32" s="21"/>
      <c r="CK32" s="44"/>
      <c r="CL32" s="21"/>
      <c r="CM32" s="44"/>
      <c r="CN32" s="21"/>
      <c r="CO32" s="44"/>
      <c r="CP32" s="21"/>
      <c r="CQ32" s="44"/>
      <c r="CR32" s="21"/>
      <c r="CS32" s="44"/>
      <c r="CT32" s="21"/>
      <c r="CU32" s="44"/>
      <c r="CV32" s="21"/>
      <c r="CW32" s="44"/>
      <c r="CX32" s="21"/>
      <c r="CY32" s="44"/>
      <c r="CZ32" s="21"/>
      <c r="DA32" s="44"/>
      <c r="DB32" s="21"/>
      <c r="DC32" s="36"/>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row>
    <row r="33" spans="1:210" s="13" customFormat="1" ht="3"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row>
    <row r="34" spans="1:210" s="13" customFormat="1" ht="11.1"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row>
    <row r="35" spans="1:210" s="13" customFormat="1" ht="3"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row>
    <row r="36" spans="1:210" s="13" customFormat="1" ht="11.1" customHeight="1"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44"/>
      <c r="CH36" s="21"/>
      <c r="CI36" s="44"/>
      <c r="CJ36" s="21"/>
      <c r="CK36" s="44"/>
      <c r="CL36" s="21"/>
      <c r="CM36" s="44"/>
      <c r="CN36" s="21"/>
      <c r="CO36" s="44"/>
      <c r="CP36" s="21"/>
      <c r="CQ36" s="44"/>
      <c r="CR36" s="21"/>
      <c r="CS36" s="44"/>
      <c r="CT36" s="21"/>
      <c r="CU36" s="44"/>
      <c r="CV36" s="21"/>
      <c r="CW36" s="44"/>
      <c r="CX36" s="21"/>
      <c r="CY36" s="44"/>
      <c r="CZ36" s="21"/>
      <c r="DA36" s="44"/>
      <c r="DB36" s="21"/>
      <c r="DC36" s="36"/>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row>
    <row r="37" spans="1:210" s="13" customFormat="1" ht="3"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row>
    <row r="38" spans="1:210" s="13" customFormat="1" ht="11.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row>
    <row r="39" spans="1:210" s="13" customFormat="1" ht="3" customHeight="1" x14ac:dyDescent="0.2">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row>
    <row r="40" spans="1:210" s="13" customFormat="1" ht="11.1" customHeight="1" x14ac:dyDescent="0.2">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44"/>
      <c r="CF40" s="21"/>
      <c r="CG40" s="44"/>
      <c r="CH40" s="21"/>
      <c r="CI40" s="44"/>
      <c r="CJ40" s="21"/>
      <c r="CK40" s="44"/>
      <c r="CL40" s="21"/>
      <c r="CM40" s="44"/>
      <c r="CN40" s="21"/>
      <c r="CO40" s="44"/>
      <c r="CP40" s="21"/>
      <c r="CQ40" s="44"/>
      <c r="CR40" s="21"/>
      <c r="CS40" s="44"/>
      <c r="CT40" s="21"/>
      <c r="CU40" s="44"/>
      <c r="CV40" s="21"/>
      <c r="CW40" s="44"/>
      <c r="CX40" s="21"/>
      <c r="CY40" s="44"/>
      <c r="CZ40" s="21"/>
      <c r="DA40" s="44"/>
      <c r="DB40" s="21"/>
      <c r="DC40" s="36"/>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row>
    <row r="41" spans="1:210" s="13" customFormat="1" ht="3"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row>
    <row r="42" spans="1:210" s="13" customFormat="1" ht="11.1"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row>
    <row r="43" spans="1:210" s="13" customFormat="1" ht="3" customHeight="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row>
    <row r="44" spans="1:210" s="13" customFormat="1" ht="11.1"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44"/>
      <c r="CD44" s="21"/>
      <c r="CE44" s="44"/>
      <c r="CF44" s="21"/>
      <c r="CG44" s="44"/>
      <c r="CH44" s="21"/>
      <c r="CI44" s="44"/>
      <c r="CJ44" s="21"/>
      <c r="CK44" s="44"/>
      <c r="CL44" s="21"/>
      <c r="CM44" s="44"/>
      <c r="CN44" s="21"/>
      <c r="CO44" s="44"/>
      <c r="CP44" s="21"/>
      <c r="CQ44" s="44"/>
      <c r="CR44" s="21"/>
      <c r="CS44" s="44"/>
      <c r="CT44" s="21"/>
      <c r="CU44" s="44"/>
      <c r="CV44" s="21"/>
      <c r="CW44" s="44"/>
      <c r="CX44" s="21"/>
      <c r="CY44" s="44"/>
      <c r="CZ44" s="21"/>
      <c r="DA44" s="44"/>
      <c r="DB44" s="21"/>
      <c r="DC44" s="36"/>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row>
    <row r="45" spans="1:210" s="13" customFormat="1" ht="3"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row>
    <row r="46" spans="1:210" s="13" customFormat="1" ht="11.1" customHeight="1"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row>
    <row r="47" spans="1:210" s="13" customFormat="1" ht="3" customHeight="1"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row>
    <row r="48" spans="1:210" s="13" customFormat="1" ht="11.1" customHeight="1"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44"/>
      <c r="CB48" s="21"/>
      <c r="CC48" s="44"/>
      <c r="CD48" s="21"/>
      <c r="CE48" s="44"/>
      <c r="CF48" s="21"/>
      <c r="CG48" s="44"/>
      <c r="CH48" s="21"/>
      <c r="CI48" s="44"/>
      <c r="CJ48" s="21"/>
      <c r="CK48" s="44"/>
      <c r="CL48" s="21"/>
      <c r="CM48" s="44"/>
      <c r="CN48" s="21"/>
      <c r="CO48" s="44"/>
      <c r="CP48" s="21"/>
      <c r="CQ48" s="44"/>
      <c r="CR48" s="21"/>
      <c r="CS48" s="44"/>
      <c r="CT48" s="21"/>
      <c r="CU48" s="44"/>
      <c r="CV48" s="21"/>
      <c r="CW48" s="44"/>
      <c r="CX48" s="21"/>
      <c r="CY48" s="44"/>
      <c r="CZ48" s="21"/>
      <c r="DA48" s="44"/>
      <c r="DB48" s="21"/>
      <c r="DC48" s="36"/>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row>
    <row r="49" spans="1:212" s="13" customFormat="1" ht="3" customHeight="1"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row>
    <row r="50" spans="1:212" s="13" customFormat="1" ht="11.1" customHeight="1"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row>
    <row r="51" spans="1:212" s="13" customFormat="1" ht="3" customHeight="1"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row>
    <row r="52" spans="1:212" s="13" customFormat="1" ht="5.45" customHeight="1"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39"/>
      <c r="CG52" s="39"/>
      <c r="CH52" s="39"/>
      <c r="CI52" s="39"/>
      <c r="CJ52" s="39"/>
      <c r="CK52" s="39"/>
      <c r="CL52" s="21"/>
      <c r="CM52" s="21"/>
      <c r="CN52" s="21"/>
      <c r="CO52" s="21"/>
      <c r="CP52" s="21"/>
      <c r="CQ52" s="21"/>
      <c r="CR52" s="21"/>
      <c r="CS52" s="21"/>
      <c r="CT52" s="21"/>
      <c r="CU52" s="21"/>
      <c r="CV52" s="21"/>
      <c r="CW52" s="21"/>
      <c r="CX52" s="21"/>
      <c r="CY52" s="21"/>
      <c r="CZ52" s="21"/>
      <c r="DA52" s="21"/>
      <c r="DB52" s="21"/>
      <c r="DC52" s="39"/>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39"/>
      <c r="EY52" s="39"/>
      <c r="EZ52" s="39"/>
      <c r="FA52" s="39"/>
      <c r="FB52" s="39"/>
      <c r="FC52" s="39"/>
      <c r="FD52" s="21"/>
      <c r="FE52" s="21"/>
      <c r="FF52" s="21"/>
      <c r="FG52" s="21"/>
      <c r="FH52" s="21"/>
      <c r="FI52" s="21"/>
      <c r="FJ52" s="21"/>
      <c r="FK52" s="21"/>
      <c r="FL52" s="21"/>
      <c r="FM52" s="21"/>
      <c r="FN52" s="21"/>
      <c r="FO52" s="21"/>
      <c r="FP52" s="21"/>
      <c r="FQ52" s="21"/>
      <c r="FR52" s="21"/>
      <c r="FS52" s="21"/>
      <c r="FT52" s="21"/>
      <c r="FU52" s="39"/>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row>
    <row r="53" spans="1:212" s="13" customFormat="1" ht="5.45" customHeight="1"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39"/>
      <c r="CL53" s="21"/>
      <c r="CM53" s="21"/>
      <c r="CN53" s="21"/>
      <c r="CO53" s="21"/>
      <c r="CP53" s="21"/>
      <c r="CQ53" s="21"/>
      <c r="CR53" s="21"/>
      <c r="CS53" s="21"/>
      <c r="CT53" s="21"/>
      <c r="CU53" s="21"/>
      <c r="CV53" s="21"/>
      <c r="CW53" s="21"/>
      <c r="CX53" s="21"/>
      <c r="CY53" s="21"/>
      <c r="CZ53" s="21"/>
      <c r="DA53" s="21"/>
      <c r="DB53" s="21"/>
      <c r="DC53" s="39"/>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39"/>
      <c r="FD53" s="21"/>
      <c r="FE53" s="21"/>
      <c r="FF53" s="21"/>
      <c r="FG53" s="21"/>
      <c r="FH53" s="21"/>
      <c r="FI53" s="21"/>
      <c r="FJ53" s="21"/>
      <c r="FK53" s="21"/>
      <c r="FL53" s="21"/>
      <c r="FM53" s="21"/>
      <c r="FN53" s="21"/>
      <c r="FO53" s="21"/>
      <c r="FP53" s="21"/>
      <c r="FQ53" s="21"/>
      <c r="FR53" s="21"/>
      <c r="FS53" s="21"/>
      <c r="FT53" s="21"/>
      <c r="FU53" s="39"/>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row>
    <row r="54" spans="1:212" s="21" customFormat="1" ht="3" customHeight="1" x14ac:dyDescent="0.2">
      <c r="CK54" s="39"/>
      <c r="DC54" s="39"/>
      <c r="FC54" s="39"/>
      <c r="FU54" s="39"/>
    </row>
    <row r="55" spans="1:212" s="13" customFormat="1" ht="3" customHeight="1"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39"/>
      <c r="CL55" s="39"/>
      <c r="CM55" s="39"/>
      <c r="CN55" s="39"/>
      <c r="CO55" s="39"/>
      <c r="CP55" s="39"/>
      <c r="CQ55" s="39"/>
      <c r="CR55" s="39"/>
      <c r="CS55" s="39"/>
      <c r="CT55" s="39"/>
      <c r="CU55" s="39"/>
      <c r="CV55" s="39"/>
      <c r="CW55" s="39"/>
      <c r="CX55" s="39"/>
      <c r="CY55" s="39"/>
      <c r="CZ55" s="39"/>
      <c r="DA55" s="39"/>
      <c r="DB55" s="39"/>
      <c r="DC55" s="39"/>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39"/>
      <c r="FD55" s="39"/>
      <c r="FE55" s="39"/>
      <c r="FF55" s="39"/>
      <c r="FG55" s="39"/>
      <c r="FH55" s="39"/>
      <c r="FI55" s="39"/>
      <c r="FJ55" s="39"/>
      <c r="FK55" s="39"/>
      <c r="FL55" s="39"/>
      <c r="FM55" s="39"/>
      <c r="FN55" s="39"/>
      <c r="FO55" s="39"/>
      <c r="FP55" s="39"/>
      <c r="FQ55" s="39"/>
      <c r="FR55" s="39"/>
      <c r="FS55" s="39"/>
      <c r="FT55" s="39"/>
      <c r="FU55" s="39"/>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row>
    <row r="56" spans="1:212" s="13" customFormat="1" ht="3" customHeight="1"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row>
    <row r="57" spans="1:212" s="13" customFormat="1" ht="3"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row>
    <row r="58" spans="1:212" s="13" customFormat="1" ht="5.45"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39"/>
      <c r="CE58" s="39"/>
      <c r="CF58" s="39"/>
      <c r="CG58" s="39"/>
      <c r="CH58" s="39"/>
      <c r="CI58" s="39"/>
      <c r="CJ58" s="21"/>
      <c r="CK58" s="21"/>
      <c r="CL58" s="21"/>
      <c r="CM58" s="21"/>
      <c r="CN58" s="21"/>
      <c r="CO58" s="21"/>
      <c r="CP58" s="21"/>
      <c r="CQ58" s="21"/>
      <c r="CR58" s="21"/>
      <c r="CS58" s="21"/>
      <c r="CT58" s="21"/>
      <c r="CU58" s="21"/>
      <c r="CV58" s="21"/>
      <c r="CW58" s="21"/>
      <c r="CX58" s="21"/>
      <c r="CY58" s="21"/>
      <c r="CZ58" s="21"/>
      <c r="DA58" s="21"/>
      <c r="DB58" s="21"/>
      <c r="DC58" s="39"/>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56"/>
      <c r="EY58" s="57"/>
      <c r="EZ58" s="57"/>
      <c r="FA58" s="57"/>
      <c r="FB58" s="57"/>
      <c r="FC58" s="59"/>
      <c r="FD58" s="21"/>
      <c r="FE58" s="45"/>
      <c r="FF58" s="21"/>
      <c r="FG58" s="45"/>
      <c r="FH58" s="21"/>
      <c r="FI58" s="45"/>
      <c r="FJ58" s="21"/>
      <c r="FK58" s="45"/>
      <c r="FL58" s="21"/>
      <c r="FM58" s="45"/>
      <c r="FN58" s="21"/>
      <c r="FO58" s="53"/>
      <c r="FP58" s="21"/>
      <c r="FQ58" s="53"/>
      <c r="FR58" s="21"/>
      <c r="FS58" s="53"/>
      <c r="FT58" s="21"/>
      <c r="FU58" s="55"/>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row>
    <row r="59" spans="1:212" s="13" customFormat="1" ht="5.4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39"/>
      <c r="CJ59" s="21"/>
      <c r="CK59" s="21"/>
      <c r="CL59" s="21"/>
      <c r="CM59" s="21"/>
      <c r="CN59" s="21"/>
      <c r="CO59" s="21"/>
      <c r="CP59" s="21"/>
      <c r="CQ59" s="21"/>
      <c r="CR59" s="21"/>
      <c r="CS59" s="21"/>
      <c r="CT59" s="21"/>
      <c r="CU59" s="21"/>
      <c r="CV59" s="21"/>
      <c r="CW59" s="21"/>
      <c r="CX59" s="21"/>
      <c r="CY59" s="21"/>
      <c r="CZ59" s="21"/>
      <c r="DA59" s="21"/>
      <c r="DB59" s="21"/>
      <c r="DC59" s="39"/>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58"/>
      <c r="FD59" s="21"/>
      <c r="FE59" s="21"/>
      <c r="FF59" s="21"/>
      <c r="FG59" s="21"/>
      <c r="FH59" s="21"/>
      <c r="FI59" s="21"/>
      <c r="FJ59" s="21"/>
      <c r="FK59" s="21"/>
      <c r="FL59" s="21"/>
      <c r="FM59" s="21"/>
      <c r="FN59" s="21"/>
      <c r="FO59" s="54"/>
      <c r="FP59" s="21"/>
      <c r="FQ59" s="54"/>
      <c r="FR59" s="21"/>
      <c r="FS59" s="54"/>
      <c r="FT59" s="21"/>
      <c r="FU59" s="58"/>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row>
    <row r="60" spans="1:212" s="13" customFormat="1" ht="3"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39"/>
      <c r="CJ60" s="21"/>
      <c r="CK60" s="21"/>
      <c r="CL60" s="21"/>
      <c r="CM60" s="21"/>
      <c r="CN60" s="21"/>
      <c r="CO60" s="21"/>
      <c r="CP60" s="21"/>
      <c r="CQ60" s="21"/>
      <c r="CR60" s="21"/>
      <c r="CS60" s="21"/>
      <c r="CT60" s="21"/>
      <c r="CU60" s="21"/>
      <c r="CV60" s="21"/>
      <c r="CW60" s="21"/>
      <c r="CX60" s="21"/>
      <c r="CY60" s="21"/>
      <c r="CZ60" s="21"/>
      <c r="DA60" s="21"/>
      <c r="DB60" s="21"/>
      <c r="DC60" s="39"/>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58"/>
      <c r="FD60" s="21"/>
      <c r="FE60" s="21"/>
      <c r="FF60" s="21"/>
      <c r="FG60" s="21"/>
      <c r="FH60" s="21"/>
      <c r="FI60" s="21"/>
      <c r="FJ60" s="21"/>
      <c r="FK60" s="21"/>
      <c r="FL60" s="21"/>
      <c r="FM60" s="21"/>
      <c r="FN60" s="21"/>
      <c r="FO60" s="21"/>
      <c r="FP60" s="21"/>
      <c r="FQ60" s="21"/>
      <c r="FR60" s="21"/>
      <c r="FS60" s="21"/>
      <c r="FT60" s="21"/>
      <c r="FU60" s="58"/>
      <c r="FV60" s="21"/>
      <c r="FW60" s="21"/>
      <c r="FX60" s="21"/>
      <c r="FY60" s="21"/>
      <c r="FZ60" s="21"/>
      <c r="GA60" s="21"/>
      <c r="GB60" s="21"/>
      <c r="GC60" s="21"/>
      <c r="GD60" s="21"/>
      <c r="GE60" s="21"/>
      <c r="GF60" s="21"/>
      <c r="GG60" s="21"/>
      <c r="GH60" s="21"/>
      <c r="GI60" s="21"/>
      <c r="GJ60" s="21"/>
      <c r="GK60" s="21"/>
      <c r="GL60" s="21"/>
      <c r="GM60" s="21"/>
      <c r="GN60" s="21"/>
      <c r="GO60" s="21"/>
      <c r="GP60" s="21"/>
      <c r="GQ60" s="21"/>
      <c r="GR60" s="21"/>
      <c r="GS60" s="21"/>
      <c r="GT60" s="21"/>
      <c r="GU60" s="21"/>
      <c r="GV60" s="21"/>
      <c r="GW60" s="21"/>
      <c r="GX60" s="21"/>
      <c r="GY60" s="21"/>
      <c r="GZ60" s="21"/>
      <c r="HA60" s="21"/>
      <c r="HB60" s="21"/>
      <c r="HC60" s="21"/>
      <c r="HD60" s="21"/>
    </row>
    <row r="61" spans="1:212" s="13" customFormat="1" ht="3" customHeight="1"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39"/>
      <c r="CJ61" s="39"/>
      <c r="CK61" s="39"/>
      <c r="CL61" s="39"/>
      <c r="CM61" s="39"/>
      <c r="CN61" s="39"/>
      <c r="CO61" s="39"/>
      <c r="CP61" s="39"/>
      <c r="CQ61" s="39"/>
      <c r="CR61" s="39"/>
      <c r="CS61" s="39"/>
      <c r="CT61" s="39"/>
      <c r="CU61" s="39"/>
      <c r="CV61" s="39"/>
      <c r="CW61" s="39"/>
      <c r="CX61" s="39"/>
      <c r="CY61" s="39"/>
      <c r="CZ61" s="39"/>
      <c r="DA61" s="39"/>
      <c r="DB61" s="39"/>
      <c r="DC61" s="39"/>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60"/>
      <c r="FD61" s="57"/>
      <c r="FE61" s="57"/>
      <c r="FF61" s="57"/>
      <c r="FG61" s="57"/>
      <c r="FH61" s="57"/>
      <c r="FI61" s="57"/>
      <c r="FJ61" s="57"/>
      <c r="FK61" s="57"/>
      <c r="FL61" s="57"/>
      <c r="FM61" s="57"/>
      <c r="FN61" s="57"/>
      <c r="FO61" s="57"/>
      <c r="FP61" s="57"/>
      <c r="FQ61" s="57"/>
      <c r="FR61" s="57"/>
      <c r="FS61" s="57"/>
      <c r="FT61" s="57"/>
      <c r="FU61" s="61"/>
      <c r="FV61" s="21"/>
      <c r="FW61" s="21"/>
      <c r="FX61" s="21"/>
      <c r="FY61" s="21"/>
      <c r="FZ61" s="21"/>
      <c r="GA61" s="21"/>
      <c r="GB61" s="21"/>
      <c r="GC61" s="21"/>
      <c r="GD61" s="21"/>
      <c r="GE61" s="21"/>
      <c r="GF61" s="21"/>
      <c r="GG61" s="21"/>
      <c r="GH61" s="21"/>
      <c r="GI61" s="21"/>
      <c r="GJ61" s="21"/>
      <c r="GK61" s="21"/>
      <c r="GL61" s="21"/>
      <c r="GM61" s="21"/>
      <c r="GN61" s="21"/>
      <c r="GO61" s="21"/>
      <c r="GP61" s="21"/>
      <c r="GQ61" s="21"/>
      <c r="GR61" s="21"/>
      <c r="GS61" s="21"/>
      <c r="GT61" s="21"/>
      <c r="GU61" s="21"/>
      <c r="GV61" s="21"/>
      <c r="GW61" s="21"/>
      <c r="GX61" s="21"/>
      <c r="GY61" s="21"/>
      <c r="GZ61" s="21"/>
      <c r="HA61" s="21"/>
      <c r="HB61" s="21"/>
      <c r="HC61" s="21"/>
      <c r="HD61" s="21"/>
    </row>
    <row r="62" spans="1:212" s="13" customFormat="1" ht="3"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c r="GI62" s="21"/>
      <c r="GJ62" s="21"/>
      <c r="GK62" s="21"/>
      <c r="GL62" s="21"/>
      <c r="GM62" s="21"/>
      <c r="GN62" s="21"/>
      <c r="GO62" s="21"/>
      <c r="GP62" s="21"/>
      <c r="GQ62" s="21"/>
      <c r="GR62" s="21"/>
      <c r="GS62" s="21"/>
      <c r="GT62" s="21"/>
      <c r="GU62" s="21"/>
      <c r="GV62" s="21"/>
      <c r="GW62" s="21"/>
      <c r="GX62" s="21"/>
      <c r="GY62" s="21"/>
      <c r="GZ62" s="21"/>
      <c r="HA62" s="21"/>
      <c r="HB62" s="21"/>
      <c r="HC62" s="21"/>
      <c r="HD62" s="21"/>
    </row>
    <row r="63" spans="1:212" s="13" customFormat="1" ht="3"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c r="GI63" s="21"/>
      <c r="GJ63" s="21"/>
      <c r="GK63" s="21"/>
      <c r="GL63" s="21"/>
      <c r="GM63" s="21"/>
      <c r="GN63" s="21"/>
      <c r="GO63" s="21"/>
      <c r="GP63" s="21"/>
      <c r="GQ63" s="21"/>
      <c r="GR63" s="21"/>
      <c r="GS63" s="21"/>
      <c r="GT63" s="21"/>
      <c r="GU63" s="21"/>
      <c r="GV63" s="21"/>
      <c r="GW63" s="21"/>
      <c r="GX63" s="21"/>
      <c r="GY63" s="21"/>
      <c r="GZ63" s="21"/>
      <c r="HA63" s="21"/>
      <c r="HB63" s="21"/>
      <c r="HC63" s="21"/>
      <c r="HD63" s="21"/>
    </row>
    <row r="64" spans="1:212" s="13" customFormat="1" ht="5.45" customHeight="1"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39"/>
      <c r="CE64" s="39"/>
      <c r="CF64" s="39"/>
      <c r="CG64" s="39"/>
      <c r="CH64" s="39"/>
      <c r="CI64" s="39"/>
      <c r="CJ64" s="21"/>
      <c r="CK64" s="21"/>
      <c r="CL64" s="21"/>
      <c r="CM64" s="21"/>
      <c r="CN64" s="21"/>
      <c r="CO64" s="21"/>
      <c r="CP64" s="21"/>
      <c r="CQ64" s="21"/>
      <c r="CR64" s="21"/>
      <c r="CS64" s="21"/>
      <c r="CT64" s="21"/>
      <c r="CU64" s="21"/>
      <c r="CV64" s="21"/>
      <c r="CW64" s="21"/>
      <c r="CX64" s="21"/>
      <c r="CY64" s="21"/>
      <c r="CZ64" s="21"/>
      <c r="DA64" s="21"/>
      <c r="DB64" s="21"/>
      <c r="DC64" s="39"/>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56"/>
      <c r="EW64" s="57"/>
      <c r="EX64" s="57"/>
      <c r="EY64" s="57"/>
      <c r="EZ64" s="57"/>
      <c r="FA64" s="59"/>
      <c r="FB64" s="21"/>
      <c r="FC64" s="45"/>
      <c r="FD64" s="21"/>
      <c r="FE64" s="45"/>
      <c r="FF64" s="21"/>
      <c r="FG64" s="45"/>
      <c r="FH64" s="21"/>
      <c r="FI64" s="45"/>
      <c r="FJ64" s="21"/>
      <c r="FK64" s="45"/>
      <c r="FL64" s="21"/>
      <c r="FM64" s="53"/>
      <c r="FN64" s="21"/>
      <c r="FO64" s="53"/>
      <c r="FP64" s="21"/>
      <c r="FQ64" s="53"/>
      <c r="FR64" s="21"/>
      <c r="FS64" s="53"/>
      <c r="FT64" s="21"/>
      <c r="FU64" s="55"/>
      <c r="FV64" s="21"/>
      <c r="FW64" s="21"/>
      <c r="FX64" s="21"/>
      <c r="FY64" s="21"/>
      <c r="FZ64" s="21"/>
      <c r="GA64" s="21"/>
      <c r="GB64" s="21"/>
      <c r="GC64" s="21"/>
      <c r="GD64" s="21"/>
      <c r="GE64" s="21"/>
      <c r="GF64" s="21"/>
      <c r="GG64" s="21"/>
      <c r="GH64" s="21"/>
      <c r="GI64" s="21"/>
      <c r="GJ64" s="21"/>
      <c r="GK64" s="21"/>
      <c r="GL64" s="21"/>
      <c r="GM64" s="21"/>
      <c r="GN64" s="21"/>
      <c r="GO64" s="21"/>
      <c r="GP64" s="21"/>
      <c r="GQ64" s="21"/>
      <c r="GR64" s="21"/>
      <c r="GS64" s="21"/>
      <c r="GT64" s="21"/>
      <c r="GU64" s="21"/>
      <c r="GV64" s="21"/>
      <c r="GW64" s="21"/>
      <c r="GX64" s="21"/>
      <c r="GY64" s="21"/>
      <c r="GZ64" s="21"/>
      <c r="HA64" s="21"/>
      <c r="HB64" s="21"/>
      <c r="HC64" s="21"/>
      <c r="HD64" s="21"/>
    </row>
    <row r="65" spans="1:212" s="13" customFormat="1" ht="5.45"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39"/>
      <c r="CJ65" s="21"/>
      <c r="CK65" s="21"/>
      <c r="CL65" s="21"/>
      <c r="CM65" s="21"/>
      <c r="CN65" s="21"/>
      <c r="CO65" s="21"/>
      <c r="CP65" s="21"/>
      <c r="CQ65" s="21"/>
      <c r="CR65" s="21"/>
      <c r="CS65" s="21"/>
      <c r="CT65" s="21"/>
      <c r="CU65" s="21"/>
      <c r="CV65" s="21"/>
      <c r="CW65" s="21"/>
      <c r="CX65" s="21"/>
      <c r="CY65" s="21"/>
      <c r="CZ65" s="21"/>
      <c r="DA65" s="21"/>
      <c r="DB65" s="21"/>
      <c r="DC65" s="39"/>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58"/>
      <c r="FB65" s="21"/>
      <c r="FC65" s="21"/>
      <c r="FD65" s="21"/>
      <c r="FE65" s="21"/>
      <c r="FF65" s="21"/>
      <c r="FG65" s="21"/>
      <c r="FH65" s="21"/>
      <c r="FI65" s="21"/>
      <c r="FJ65" s="21"/>
      <c r="FK65" s="21"/>
      <c r="FL65" s="21"/>
      <c r="FM65" s="54"/>
      <c r="FN65" s="21"/>
      <c r="FO65" s="54"/>
      <c r="FP65" s="21"/>
      <c r="FQ65" s="54"/>
      <c r="FR65" s="21"/>
      <c r="FS65" s="54"/>
      <c r="FT65" s="21"/>
      <c r="FU65" s="58"/>
      <c r="FV65" s="21"/>
      <c r="FW65" s="21"/>
      <c r="FX65" s="21"/>
      <c r="FY65" s="21"/>
      <c r="FZ65" s="21"/>
      <c r="GA65" s="21"/>
      <c r="GB65" s="21"/>
      <c r="GC65" s="21"/>
      <c r="GD65" s="21"/>
      <c r="GE65" s="21"/>
      <c r="GF65" s="21"/>
      <c r="GG65" s="21"/>
      <c r="GH65" s="21"/>
      <c r="GI65" s="21"/>
      <c r="GJ65" s="21"/>
      <c r="GK65" s="21"/>
      <c r="GL65" s="21"/>
      <c r="GM65" s="21"/>
      <c r="GN65" s="21"/>
      <c r="GO65" s="21"/>
      <c r="GP65" s="21"/>
      <c r="GQ65" s="21"/>
      <c r="GR65" s="21"/>
      <c r="GS65" s="21"/>
      <c r="GT65" s="21"/>
      <c r="GU65" s="21"/>
      <c r="GV65" s="21"/>
      <c r="GW65" s="21"/>
      <c r="GX65" s="21"/>
      <c r="GY65" s="21"/>
      <c r="GZ65" s="21"/>
      <c r="HA65" s="21"/>
      <c r="HB65" s="21"/>
      <c r="HC65" s="21"/>
      <c r="HD65" s="21"/>
    </row>
    <row r="66" spans="1:212" s="13" customFormat="1" ht="3" customHeight="1"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39"/>
      <c r="CJ66" s="21"/>
      <c r="CK66" s="21"/>
      <c r="CL66" s="21"/>
      <c r="CM66" s="21"/>
      <c r="CN66" s="21"/>
      <c r="CO66" s="21"/>
      <c r="CP66" s="21"/>
      <c r="CQ66" s="21"/>
      <c r="CR66" s="21"/>
      <c r="CS66" s="21"/>
      <c r="CT66" s="21"/>
      <c r="CU66" s="21"/>
      <c r="CV66" s="21"/>
      <c r="CW66" s="21"/>
      <c r="CX66" s="21"/>
      <c r="CY66" s="21"/>
      <c r="CZ66" s="21"/>
      <c r="DA66" s="21"/>
      <c r="DB66" s="21"/>
      <c r="DC66" s="39"/>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58"/>
      <c r="FB66" s="21"/>
      <c r="FC66" s="21"/>
      <c r="FD66" s="21"/>
      <c r="FE66" s="21"/>
      <c r="FF66" s="21"/>
      <c r="FG66" s="21"/>
      <c r="FH66" s="21"/>
      <c r="FI66" s="21"/>
      <c r="FJ66" s="21"/>
      <c r="FK66" s="21"/>
      <c r="FL66" s="21"/>
      <c r="FM66" s="21"/>
      <c r="FN66" s="21"/>
      <c r="FO66" s="21"/>
      <c r="FP66" s="21"/>
      <c r="FQ66" s="21"/>
      <c r="FR66" s="21"/>
      <c r="FS66" s="21"/>
      <c r="FT66" s="21"/>
      <c r="FU66" s="58"/>
      <c r="FV66" s="21"/>
      <c r="FW66" s="21"/>
      <c r="FX66" s="21"/>
      <c r="FY66" s="21"/>
      <c r="FZ66" s="21"/>
      <c r="GA66" s="21"/>
      <c r="GB66" s="21"/>
      <c r="GC66" s="21"/>
      <c r="GD66" s="21"/>
      <c r="GE66" s="21"/>
      <c r="GF66" s="21"/>
      <c r="GG66" s="21"/>
      <c r="GH66" s="21"/>
      <c r="GI66" s="21"/>
      <c r="GJ66" s="21"/>
      <c r="GK66" s="21"/>
      <c r="GL66" s="21"/>
      <c r="GM66" s="21"/>
      <c r="GN66" s="21"/>
      <c r="GO66" s="21"/>
      <c r="GP66" s="21"/>
      <c r="GQ66" s="21"/>
      <c r="GR66" s="21"/>
      <c r="GS66" s="21"/>
      <c r="GT66" s="21"/>
      <c r="GU66" s="21"/>
      <c r="GV66" s="21"/>
      <c r="GW66" s="21"/>
      <c r="GX66" s="21"/>
      <c r="GY66" s="21"/>
      <c r="GZ66" s="21"/>
      <c r="HA66" s="21"/>
      <c r="HB66" s="21"/>
      <c r="HC66" s="21"/>
      <c r="HD66" s="21"/>
    </row>
    <row r="67" spans="1:212" s="13" customFormat="1" ht="3" customHeight="1"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39"/>
      <c r="CJ67" s="39"/>
      <c r="CK67" s="39"/>
      <c r="CL67" s="39"/>
      <c r="CM67" s="39"/>
      <c r="CN67" s="39"/>
      <c r="CO67" s="39"/>
      <c r="CP67" s="39"/>
      <c r="CQ67" s="39"/>
      <c r="CR67" s="39"/>
      <c r="CS67" s="39"/>
      <c r="CT67" s="39"/>
      <c r="CU67" s="39"/>
      <c r="CV67" s="39"/>
      <c r="CW67" s="39"/>
      <c r="CX67" s="39"/>
      <c r="CY67" s="39"/>
      <c r="CZ67" s="39"/>
      <c r="DA67" s="39"/>
      <c r="DB67" s="39"/>
      <c r="DC67" s="39"/>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60"/>
      <c r="FB67" s="57"/>
      <c r="FC67" s="57"/>
      <c r="FD67" s="57"/>
      <c r="FE67" s="57"/>
      <c r="FF67" s="57"/>
      <c r="FG67" s="57"/>
      <c r="FH67" s="57"/>
      <c r="FI67" s="57"/>
      <c r="FJ67" s="57"/>
      <c r="FK67" s="57"/>
      <c r="FL67" s="57"/>
      <c r="FM67" s="57"/>
      <c r="FN67" s="57"/>
      <c r="FO67" s="57"/>
      <c r="FP67" s="57"/>
      <c r="FQ67" s="57"/>
      <c r="FR67" s="57"/>
      <c r="FS67" s="57"/>
      <c r="FT67" s="57"/>
      <c r="FU67" s="61"/>
      <c r="FV67" s="21"/>
      <c r="FW67" s="21"/>
      <c r="FX67" s="21"/>
      <c r="FY67" s="21"/>
      <c r="FZ67" s="21"/>
      <c r="GA67" s="21"/>
      <c r="GB67" s="21"/>
      <c r="GC67" s="21"/>
      <c r="GD67" s="21"/>
      <c r="GE67" s="21"/>
      <c r="GF67" s="21"/>
      <c r="GG67" s="21"/>
      <c r="GH67" s="21"/>
      <c r="GI67" s="21"/>
      <c r="GJ67" s="21"/>
      <c r="GK67" s="21"/>
      <c r="GL67" s="21"/>
      <c r="GM67" s="21"/>
      <c r="GN67" s="21"/>
      <c r="GO67" s="21"/>
      <c r="GP67" s="21"/>
      <c r="GQ67" s="21"/>
      <c r="GR67" s="21"/>
      <c r="GS67" s="21"/>
      <c r="GT67" s="21"/>
      <c r="GU67" s="21"/>
      <c r="GV67" s="21"/>
      <c r="GW67" s="21"/>
      <c r="GX67" s="21"/>
      <c r="GY67" s="21"/>
      <c r="GZ67" s="21"/>
      <c r="HA67" s="21"/>
      <c r="HB67" s="21"/>
      <c r="HC67" s="21"/>
      <c r="HD67" s="21"/>
    </row>
    <row r="68" spans="1:212" s="13" customFormat="1" ht="3"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c r="GI68" s="21"/>
      <c r="GJ68" s="21"/>
      <c r="GK68" s="21"/>
      <c r="GL68" s="21"/>
      <c r="GM68" s="21"/>
      <c r="GN68" s="21"/>
      <c r="GO68" s="21"/>
      <c r="GP68" s="21"/>
      <c r="GQ68" s="21"/>
      <c r="GR68" s="21"/>
      <c r="GS68" s="21"/>
      <c r="GT68" s="21"/>
      <c r="GU68" s="21"/>
      <c r="GV68" s="21"/>
      <c r="GW68" s="21"/>
      <c r="GX68" s="21"/>
      <c r="GY68" s="21"/>
      <c r="GZ68" s="21"/>
      <c r="HA68" s="21"/>
      <c r="HB68" s="21"/>
      <c r="HC68" s="21"/>
      <c r="HD68" s="21"/>
    </row>
    <row r="69" spans="1:212" s="13" customFormat="1" ht="3" customHeight="1"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row>
    <row r="70" spans="1:212" s="13" customFormat="1" ht="5.45" customHeight="1"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39"/>
      <c r="CC70" s="39"/>
      <c r="CD70" s="39"/>
      <c r="CE70" s="39"/>
      <c r="CF70" s="39"/>
      <c r="CG70" s="39"/>
      <c r="CH70" s="21"/>
      <c r="CI70" s="21"/>
      <c r="CJ70" s="21"/>
      <c r="CK70" s="21"/>
      <c r="CL70" s="21"/>
      <c r="CM70" s="21"/>
      <c r="CN70" s="21"/>
      <c r="CO70" s="21"/>
      <c r="CP70" s="21"/>
      <c r="CQ70" s="21"/>
      <c r="CR70" s="21"/>
      <c r="CS70" s="21"/>
      <c r="CT70" s="21"/>
      <c r="CU70" s="21"/>
      <c r="CV70" s="21"/>
      <c r="CW70" s="21"/>
      <c r="CX70" s="21"/>
      <c r="CY70" s="21"/>
      <c r="CZ70" s="21"/>
      <c r="DA70" s="21"/>
      <c r="DB70" s="21"/>
      <c r="DC70" s="39"/>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56"/>
      <c r="EU70" s="57"/>
      <c r="EV70" s="57"/>
      <c r="EW70" s="57"/>
      <c r="EX70" s="57"/>
      <c r="EY70" s="59"/>
      <c r="EZ70" s="21"/>
      <c r="FA70" s="45"/>
      <c r="FB70" s="21"/>
      <c r="FC70" s="45"/>
      <c r="FD70" s="21"/>
      <c r="FE70" s="45"/>
      <c r="FF70" s="21"/>
      <c r="FG70" s="45"/>
      <c r="FH70" s="21"/>
      <c r="FI70" s="45"/>
      <c r="FJ70" s="21"/>
      <c r="FK70" s="53"/>
      <c r="FL70" s="21"/>
      <c r="FM70" s="53"/>
      <c r="FN70" s="21"/>
      <c r="FO70" s="53"/>
      <c r="FP70" s="21"/>
      <c r="FQ70" s="53"/>
      <c r="FR70" s="21"/>
      <c r="FS70" s="53"/>
      <c r="FT70" s="21"/>
      <c r="FU70" s="55"/>
      <c r="FV70" s="21"/>
      <c r="FW70" s="21"/>
      <c r="FX70" s="21"/>
      <c r="FY70" s="21"/>
      <c r="FZ70" s="21"/>
      <c r="GA70" s="21"/>
      <c r="GB70" s="21"/>
      <c r="GC70" s="21"/>
      <c r="GD70" s="21"/>
      <c r="GE70" s="21"/>
      <c r="GF70" s="21"/>
      <c r="GG70" s="21"/>
      <c r="GH70" s="21"/>
      <c r="GI70" s="21"/>
      <c r="GJ70" s="21"/>
      <c r="GK70" s="21"/>
      <c r="GL70" s="21"/>
      <c r="GM70" s="21"/>
      <c r="GN70" s="21"/>
      <c r="GO70" s="21"/>
      <c r="GP70" s="21"/>
      <c r="GQ70" s="21"/>
      <c r="GR70" s="21"/>
      <c r="GS70" s="21"/>
      <c r="GT70" s="21"/>
      <c r="GU70" s="21"/>
      <c r="GV70" s="21"/>
      <c r="GW70" s="21"/>
      <c r="GX70" s="21"/>
      <c r="GY70" s="21"/>
      <c r="GZ70" s="21"/>
      <c r="HA70" s="21"/>
      <c r="HB70" s="21"/>
      <c r="HC70" s="21"/>
      <c r="HD70" s="21"/>
    </row>
    <row r="71" spans="1:212" s="13" customFormat="1" ht="5.45" customHeight="1"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39"/>
      <c r="CH71" s="21"/>
      <c r="CI71" s="21"/>
      <c r="CJ71" s="21"/>
      <c r="CK71" s="21"/>
      <c r="CL71" s="21"/>
      <c r="CM71" s="21"/>
      <c r="CN71" s="21"/>
      <c r="CO71" s="21"/>
      <c r="CP71" s="21"/>
      <c r="CQ71" s="21"/>
      <c r="CR71" s="21"/>
      <c r="CS71" s="21"/>
      <c r="CT71" s="21"/>
      <c r="CU71" s="21"/>
      <c r="CV71" s="21"/>
      <c r="CW71" s="21"/>
      <c r="CX71" s="21"/>
      <c r="CY71" s="21"/>
      <c r="CZ71" s="21"/>
      <c r="DA71" s="21"/>
      <c r="DB71" s="21"/>
      <c r="DC71" s="39"/>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58"/>
      <c r="EZ71" s="21"/>
      <c r="FA71" s="21"/>
      <c r="FB71" s="21"/>
      <c r="FC71" s="21"/>
      <c r="FD71" s="21"/>
      <c r="FE71" s="21"/>
      <c r="FF71" s="21"/>
      <c r="FG71" s="21"/>
      <c r="FH71" s="21"/>
      <c r="FI71" s="21"/>
      <c r="FJ71" s="21"/>
      <c r="FK71" s="54"/>
      <c r="FL71" s="21"/>
      <c r="FM71" s="54"/>
      <c r="FN71" s="21"/>
      <c r="FO71" s="54"/>
      <c r="FP71" s="21"/>
      <c r="FQ71" s="54"/>
      <c r="FR71" s="21"/>
      <c r="FS71" s="54"/>
      <c r="FT71" s="21"/>
      <c r="FU71" s="58"/>
      <c r="FV71" s="21"/>
      <c r="FW71" s="21"/>
      <c r="FX71" s="21"/>
      <c r="FY71" s="21"/>
      <c r="FZ71" s="21"/>
      <c r="GA71" s="21"/>
      <c r="GB71" s="21"/>
      <c r="GC71" s="21"/>
      <c r="GD71" s="21"/>
      <c r="GE71" s="21"/>
      <c r="GF71" s="21"/>
      <c r="GG71" s="21"/>
      <c r="GH71" s="21"/>
      <c r="GI71" s="21"/>
      <c r="GJ71" s="21"/>
      <c r="GK71" s="21"/>
      <c r="GL71" s="21"/>
      <c r="GM71" s="21"/>
      <c r="GN71" s="21"/>
      <c r="GO71" s="21"/>
      <c r="GP71" s="21"/>
      <c r="GQ71" s="21"/>
      <c r="GR71" s="21"/>
      <c r="GS71" s="21"/>
      <c r="GT71" s="21"/>
      <c r="GU71" s="21"/>
      <c r="GV71" s="21"/>
      <c r="GW71" s="21"/>
      <c r="GX71" s="21"/>
      <c r="GY71" s="21"/>
      <c r="GZ71" s="21"/>
      <c r="HA71" s="21"/>
      <c r="HB71" s="21"/>
      <c r="HC71" s="21"/>
      <c r="HD71" s="21"/>
    </row>
    <row r="72" spans="1:212" s="13" customFormat="1" ht="3" customHeight="1"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39"/>
      <c r="CH72" s="21"/>
      <c r="CI72" s="21"/>
      <c r="CJ72" s="21"/>
      <c r="CK72" s="21"/>
      <c r="CL72" s="21"/>
      <c r="CM72" s="21"/>
      <c r="CN72" s="21"/>
      <c r="CO72" s="21"/>
      <c r="CP72" s="21"/>
      <c r="CQ72" s="21"/>
      <c r="CR72" s="21"/>
      <c r="CS72" s="21"/>
      <c r="CT72" s="21"/>
      <c r="CU72" s="21"/>
      <c r="CV72" s="21"/>
      <c r="CW72" s="21"/>
      <c r="CX72" s="21"/>
      <c r="CY72" s="21"/>
      <c r="CZ72" s="21"/>
      <c r="DA72" s="21"/>
      <c r="DB72" s="21"/>
      <c r="DC72" s="39"/>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58"/>
      <c r="EZ72" s="21"/>
      <c r="FA72" s="21"/>
      <c r="FB72" s="21"/>
      <c r="FC72" s="21"/>
      <c r="FD72" s="21"/>
      <c r="FE72" s="21"/>
      <c r="FF72" s="21"/>
      <c r="FG72" s="21"/>
      <c r="FH72" s="21"/>
      <c r="FI72" s="21"/>
      <c r="FJ72" s="21"/>
      <c r="FK72" s="21"/>
      <c r="FL72" s="21"/>
      <c r="FM72" s="21"/>
      <c r="FN72" s="21"/>
      <c r="FO72" s="21"/>
      <c r="FP72" s="21"/>
      <c r="FQ72" s="21"/>
      <c r="FR72" s="21"/>
      <c r="FS72" s="21"/>
      <c r="FT72" s="21"/>
      <c r="FU72" s="58"/>
      <c r="FV72" s="21"/>
      <c r="FW72" s="21"/>
      <c r="FX72" s="21"/>
      <c r="FY72" s="21"/>
      <c r="FZ72" s="21"/>
      <c r="GA72" s="21"/>
      <c r="GB72" s="21"/>
      <c r="GC72" s="21"/>
      <c r="GD72" s="21"/>
      <c r="GE72" s="21"/>
      <c r="GF72" s="21"/>
      <c r="GG72" s="21"/>
      <c r="GH72" s="21"/>
      <c r="GI72" s="21"/>
      <c r="GJ72" s="21"/>
      <c r="GK72" s="21"/>
      <c r="GL72" s="21"/>
      <c r="GM72" s="21"/>
      <c r="GN72" s="21"/>
      <c r="GO72" s="21"/>
      <c r="GP72" s="21"/>
      <c r="GQ72" s="21"/>
      <c r="GR72" s="21"/>
      <c r="GS72" s="21"/>
      <c r="GT72" s="21"/>
      <c r="GU72" s="21"/>
      <c r="GV72" s="21"/>
      <c r="GW72" s="21"/>
      <c r="GX72" s="21"/>
      <c r="GY72" s="21"/>
      <c r="GZ72" s="21"/>
      <c r="HA72" s="21"/>
      <c r="HB72" s="21"/>
      <c r="HC72" s="21"/>
      <c r="HD72" s="21"/>
    </row>
    <row r="73" spans="1:212" s="13" customFormat="1" ht="3" customHeight="1"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60"/>
      <c r="EZ73" s="57"/>
      <c r="FA73" s="57"/>
      <c r="FB73" s="57"/>
      <c r="FC73" s="57"/>
      <c r="FD73" s="57"/>
      <c r="FE73" s="57"/>
      <c r="FF73" s="57"/>
      <c r="FG73" s="57"/>
      <c r="FH73" s="57"/>
      <c r="FI73" s="57"/>
      <c r="FJ73" s="57"/>
      <c r="FK73" s="57"/>
      <c r="FL73" s="57"/>
      <c r="FM73" s="57"/>
      <c r="FN73" s="57"/>
      <c r="FO73" s="57"/>
      <c r="FP73" s="57"/>
      <c r="FQ73" s="57"/>
      <c r="FR73" s="57"/>
      <c r="FS73" s="57"/>
      <c r="FT73" s="57"/>
      <c r="FU73" s="61"/>
      <c r="FV73" s="21"/>
      <c r="FW73" s="21"/>
      <c r="FX73" s="21"/>
      <c r="FY73" s="21"/>
      <c r="FZ73" s="21"/>
      <c r="GA73" s="21"/>
      <c r="GB73" s="21"/>
      <c r="GC73" s="21"/>
      <c r="GD73" s="21"/>
      <c r="GE73" s="21"/>
      <c r="GF73" s="21"/>
      <c r="GG73" s="21"/>
      <c r="GH73" s="21"/>
      <c r="GI73" s="21"/>
      <c r="GJ73" s="21"/>
      <c r="GK73" s="21"/>
      <c r="GL73" s="21"/>
      <c r="GM73" s="21"/>
      <c r="GN73" s="21"/>
      <c r="GO73" s="21"/>
      <c r="GP73" s="21"/>
      <c r="GQ73" s="21"/>
      <c r="GR73" s="21"/>
      <c r="GS73" s="21"/>
      <c r="GT73" s="21"/>
      <c r="GU73" s="21"/>
      <c r="GV73" s="21"/>
      <c r="GW73" s="21"/>
      <c r="GX73" s="21"/>
      <c r="GY73" s="21"/>
      <c r="GZ73" s="21"/>
      <c r="HA73" s="21"/>
      <c r="HB73" s="21"/>
      <c r="HC73" s="21"/>
      <c r="HD73" s="21"/>
    </row>
    <row r="74" spans="1:212" s="13" customFormat="1" ht="3"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c r="GI74" s="21"/>
      <c r="GJ74" s="21"/>
      <c r="GK74" s="21"/>
      <c r="GL74" s="21"/>
      <c r="GM74" s="21"/>
      <c r="GN74" s="21"/>
      <c r="GO74" s="21"/>
      <c r="GP74" s="21"/>
      <c r="GQ74" s="21"/>
      <c r="GR74" s="21"/>
      <c r="GS74" s="21"/>
      <c r="GT74" s="21"/>
      <c r="GU74" s="21"/>
      <c r="GV74" s="21"/>
      <c r="GW74" s="21"/>
      <c r="GX74" s="21"/>
      <c r="GY74" s="21"/>
      <c r="GZ74" s="21"/>
      <c r="HA74" s="21"/>
      <c r="HB74" s="21"/>
      <c r="HC74" s="21"/>
      <c r="HD74" s="21"/>
    </row>
    <row r="75" spans="1:212" s="13" customFormat="1" ht="3"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c r="GI75" s="21"/>
      <c r="GJ75" s="21"/>
      <c r="GK75" s="21"/>
      <c r="GL75" s="21"/>
      <c r="GM75" s="21"/>
      <c r="GN75" s="21"/>
      <c r="GO75" s="21"/>
      <c r="GP75" s="21"/>
      <c r="GQ75" s="21"/>
      <c r="GR75" s="21"/>
      <c r="GS75" s="21"/>
      <c r="GT75" s="21"/>
      <c r="GU75" s="21"/>
      <c r="GV75" s="21"/>
      <c r="GW75" s="21"/>
      <c r="GX75" s="21"/>
      <c r="GY75" s="21"/>
      <c r="GZ75" s="21"/>
      <c r="HA75" s="21"/>
      <c r="HB75" s="21"/>
      <c r="HC75" s="21"/>
      <c r="HD75" s="21"/>
    </row>
    <row r="76" spans="1:212" s="13" customFormat="1" ht="5.4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39"/>
      <c r="BY76" s="39"/>
      <c r="BZ76" s="39"/>
      <c r="CA76" s="39"/>
      <c r="CB76" s="39"/>
      <c r="CC76" s="39"/>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39"/>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56"/>
      <c r="EQ76" s="57"/>
      <c r="ER76" s="57"/>
      <c r="ES76" s="57"/>
      <c r="ET76" s="57"/>
      <c r="EU76" s="59"/>
      <c r="EV76" s="21"/>
      <c r="EW76" s="45"/>
      <c r="EX76" s="21"/>
      <c r="EY76" s="45"/>
      <c r="EZ76" s="21"/>
      <c r="FA76" s="45"/>
      <c r="FB76" s="21"/>
      <c r="FC76" s="45"/>
      <c r="FD76" s="21"/>
      <c r="FE76" s="45"/>
      <c r="FF76" s="21"/>
      <c r="FG76" s="45"/>
      <c r="FH76" s="21"/>
      <c r="FI76" s="53"/>
      <c r="FJ76" s="21"/>
      <c r="FK76" s="53"/>
      <c r="FL76" s="21"/>
      <c r="FM76" s="53"/>
      <c r="FN76" s="21"/>
      <c r="FO76" s="53"/>
      <c r="FP76" s="21"/>
      <c r="FQ76" s="53"/>
      <c r="FR76" s="21"/>
      <c r="FS76" s="53"/>
      <c r="FT76" s="21"/>
      <c r="FU76" s="55"/>
      <c r="FV76" s="21"/>
      <c r="FW76" s="21"/>
      <c r="FX76" s="21"/>
      <c r="FY76" s="21"/>
      <c r="FZ76" s="21"/>
      <c r="GA76" s="21"/>
      <c r="GB76" s="21"/>
      <c r="GC76" s="21"/>
      <c r="GD76" s="21"/>
      <c r="GE76" s="21"/>
      <c r="GF76" s="21"/>
      <c r="GG76" s="21"/>
      <c r="GH76" s="21"/>
      <c r="GI76" s="21"/>
      <c r="GJ76" s="21"/>
      <c r="GK76" s="21"/>
      <c r="GL76" s="21"/>
      <c r="GM76" s="21"/>
      <c r="GN76" s="21"/>
      <c r="GO76" s="21"/>
      <c r="GP76" s="21"/>
      <c r="GQ76" s="21"/>
      <c r="GR76" s="21"/>
      <c r="GS76" s="21"/>
      <c r="GT76" s="21"/>
      <c r="GU76" s="21"/>
      <c r="GV76" s="21"/>
      <c r="GW76" s="21"/>
      <c r="GX76" s="21"/>
      <c r="GY76" s="21"/>
      <c r="GZ76" s="21"/>
      <c r="HA76" s="21"/>
      <c r="HB76" s="21"/>
      <c r="HC76" s="21"/>
      <c r="HD76" s="21"/>
    </row>
    <row r="77" spans="1:212" s="13" customFormat="1" ht="5.4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39"/>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39"/>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58"/>
      <c r="EV77" s="21"/>
      <c r="EW77" s="21"/>
      <c r="EX77" s="21"/>
      <c r="EY77" s="21"/>
      <c r="EZ77" s="21"/>
      <c r="FA77" s="21"/>
      <c r="FB77" s="21"/>
      <c r="FC77" s="21"/>
      <c r="FD77" s="21"/>
      <c r="FE77" s="21"/>
      <c r="FF77" s="21"/>
      <c r="FG77" s="21"/>
      <c r="FH77" s="21"/>
      <c r="FI77" s="54"/>
      <c r="FJ77" s="21"/>
      <c r="FK77" s="54"/>
      <c r="FL77" s="21"/>
      <c r="FM77" s="54"/>
      <c r="FN77" s="21"/>
      <c r="FO77" s="54"/>
      <c r="FP77" s="21"/>
      <c r="FQ77" s="54"/>
      <c r="FR77" s="21"/>
      <c r="FS77" s="54"/>
      <c r="FT77" s="21"/>
      <c r="FU77" s="58"/>
      <c r="FV77" s="21"/>
      <c r="FW77" s="21"/>
      <c r="FX77" s="21"/>
      <c r="FY77" s="21"/>
      <c r="FZ77" s="21"/>
      <c r="GA77" s="21"/>
      <c r="GB77" s="21"/>
      <c r="GC77" s="21"/>
      <c r="GD77" s="21"/>
      <c r="GE77" s="21"/>
      <c r="GF77" s="21"/>
      <c r="GG77" s="21"/>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12" s="13" customFormat="1" ht="3"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39"/>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39"/>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58"/>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58"/>
      <c r="FV78" s="21"/>
      <c r="FW78" s="21"/>
      <c r="FX78" s="21"/>
      <c r="FY78" s="21"/>
      <c r="FZ78" s="21"/>
      <c r="GA78" s="21"/>
      <c r="GB78" s="21"/>
      <c r="GC78" s="21"/>
      <c r="GD78" s="21"/>
      <c r="GE78" s="21"/>
      <c r="GF78" s="21"/>
      <c r="GG78" s="21"/>
      <c r="GH78" s="21"/>
      <c r="GI78" s="21"/>
      <c r="GJ78" s="21"/>
      <c r="GK78" s="21"/>
      <c r="GL78" s="21"/>
      <c r="GM78" s="21"/>
      <c r="GN78" s="21"/>
      <c r="GO78" s="21"/>
      <c r="GP78" s="21"/>
      <c r="GQ78" s="21"/>
      <c r="GR78" s="21"/>
      <c r="GS78" s="21"/>
      <c r="GT78" s="21"/>
      <c r="GU78" s="21"/>
      <c r="GV78" s="21"/>
      <c r="GW78" s="21"/>
      <c r="GX78" s="21"/>
      <c r="GY78" s="21"/>
      <c r="GZ78" s="21"/>
      <c r="HA78" s="21"/>
      <c r="HB78" s="21"/>
      <c r="HC78" s="21"/>
      <c r="HD78" s="21"/>
    </row>
    <row r="79" spans="1:212" s="13" customFormat="1" ht="3"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60"/>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61"/>
      <c r="FV79" s="21"/>
      <c r="FW79" s="21"/>
      <c r="FX79" s="21"/>
      <c r="FY79" s="21"/>
      <c r="FZ79" s="21"/>
      <c r="GA79" s="21"/>
      <c r="GB79" s="21"/>
      <c r="GC79" s="21"/>
      <c r="GD79" s="21"/>
      <c r="GE79" s="21"/>
      <c r="GF79" s="21"/>
      <c r="GG79" s="21"/>
      <c r="GH79" s="21"/>
      <c r="GI79" s="21"/>
      <c r="GJ79" s="21"/>
      <c r="GK79" s="21"/>
      <c r="GL79" s="21"/>
      <c r="GM79" s="21"/>
      <c r="GN79" s="21"/>
      <c r="GO79" s="21"/>
      <c r="GP79" s="21"/>
      <c r="GQ79" s="21"/>
      <c r="GR79" s="21"/>
      <c r="GS79" s="21"/>
      <c r="GT79" s="21"/>
      <c r="GU79" s="21"/>
      <c r="GV79" s="21"/>
      <c r="GW79" s="21"/>
      <c r="GX79" s="21"/>
      <c r="GY79" s="21"/>
      <c r="GZ79" s="21"/>
      <c r="HA79" s="21"/>
      <c r="HB79" s="21"/>
      <c r="HC79" s="21"/>
      <c r="HD79" s="21"/>
    </row>
    <row r="80" spans="1:212" s="13" customFormat="1" ht="3"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c r="GI80" s="21"/>
      <c r="GJ80" s="21"/>
      <c r="GK80" s="21"/>
      <c r="GL80" s="21"/>
      <c r="GM80" s="21"/>
      <c r="GN80" s="21"/>
      <c r="GO80" s="21"/>
      <c r="GP80" s="21"/>
      <c r="GQ80" s="21"/>
      <c r="GR80" s="21"/>
      <c r="GS80" s="21"/>
      <c r="GT80" s="21"/>
      <c r="GU80" s="21"/>
      <c r="GV80" s="21"/>
      <c r="GW80" s="21"/>
      <c r="GX80" s="21"/>
      <c r="GY80" s="21"/>
      <c r="GZ80" s="21"/>
      <c r="HA80" s="21"/>
      <c r="HB80" s="21"/>
      <c r="HC80" s="21"/>
      <c r="HD80" s="21"/>
    </row>
    <row r="81" spans="1:212" s="13" customFormat="1" ht="3"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c r="GI81" s="21"/>
      <c r="GJ81" s="21"/>
      <c r="GK81" s="21"/>
      <c r="GL81" s="21"/>
      <c r="GM81" s="21"/>
      <c r="GN81" s="21"/>
      <c r="GO81" s="21"/>
      <c r="GP81" s="21"/>
      <c r="GQ81" s="21"/>
      <c r="GR81" s="21"/>
      <c r="GS81" s="21"/>
      <c r="GT81" s="21"/>
      <c r="GU81" s="21"/>
      <c r="GV81" s="21"/>
      <c r="GW81" s="21"/>
      <c r="GX81" s="21"/>
      <c r="GY81" s="21"/>
      <c r="GZ81" s="21"/>
      <c r="HA81" s="21"/>
      <c r="HB81" s="21"/>
      <c r="HC81" s="21"/>
      <c r="HD81" s="21"/>
    </row>
    <row r="82" spans="1:212" s="13" customFormat="1" ht="5.4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39"/>
      <c r="BU82" s="39"/>
      <c r="BV82" s="39"/>
      <c r="BW82" s="39"/>
      <c r="BX82" s="39"/>
      <c r="BY82" s="39"/>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39"/>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56"/>
      <c r="EM82" s="57"/>
      <c r="EN82" s="57"/>
      <c r="EO82" s="57"/>
      <c r="EP82" s="57"/>
      <c r="EQ82" s="59"/>
      <c r="ER82" s="21"/>
      <c r="ES82" s="45"/>
      <c r="ET82" s="21"/>
      <c r="EU82" s="45"/>
      <c r="EV82" s="21"/>
      <c r="EW82" s="45"/>
      <c r="EX82" s="21"/>
      <c r="EY82" s="45"/>
      <c r="EZ82" s="21"/>
      <c r="FA82" s="45"/>
      <c r="FB82" s="21"/>
      <c r="FC82" s="45"/>
      <c r="FD82" s="21"/>
      <c r="FE82" s="45"/>
      <c r="FF82" s="21"/>
      <c r="FG82" s="53"/>
      <c r="FH82" s="21"/>
      <c r="FI82" s="53"/>
      <c r="FJ82" s="21"/>
      <c r="FK82" s="53"/>
      <c r="FL82" s="21"/>
      <c r="FM82" s="53"/>
      <c r="FN82" s="21"/>
      <c r="FO82" s="53"/>
      <c r="FP82" s="21"/>
      <c r="FQ82" s="53"/>
      <c r="FR82" s="21"/>
      <c r="FS82" s="53"/>
      <c r="FT82" s="21"/>
      <c r="FU82" s="55"/>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row>
    <row r="83" spans="1:212" s="13" customFormat="1" ht="5.4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39"/>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39"/>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58"/>
      <c r="ER83" s="21"/>
      <c r="ES83" s="21"/>
      <c r="ET83" s="21"/>
      <c r="EU83" s="21"/>
      <c r="EV83" s="21"/>
      <c r="EW83" s="21"/>
      <c r="EX83" s="21"/>
      <c r="EY83" s="21"/>
      <c r="EZ83" s="21"/>
      <c r="FA83" s="21"/>
      <c r="FB83" s="21"/>
      <c r="FC83" s="21"/>
      <c r="FD83" s="21"/>
      <c r="FE83" s="21"/>
      <c r="FF83" s="21"/>
      <c r="FG83" s="54"/>
      <c r="FH83" s="21"/>
      <c r="FI83" s="54"/>
      <c r="FJ83" s="21"/>
      <c r="FK83" s="54"/>
      <c r="FL83" s="21"/>
      <c r="FM83" s="54"/>
      <c r="FN83" s="21"/>
      <c r="FO83" s="54"/>
      <c r="FP83" s="21"/>
      <c r="FQ83" s="54"/>
      <c r="FR83" s="21"/>
      <c r="FS83" s="54"/>
      <c r="FT83" s="21"/>
      <c r="FU83" s="58"/>
      <c r="FV83" s="21"/>
      <c r="FW83" s="21"/>
      <c r="FX83" s="21"/>
      <c r="FY83" s="21"/>
      <c r="FZ83" s="21"/>
      <c r="GA83" s="21"/>
      <c r="GB83" s="21"/>
      <c r="GC83" s="21"/>
      <c r="GD83" s="21"/>
      <c r="GE83" s="21"/>
      <c r="GF83" s="21"/>
      <c r="GG83" s="21"/>
      <c r="GH83" s="21"/>
      <c r="GI83" s="21"/>
      <c r="GJ83" s="21"/>
      <c r="GK83" s="21"/>
      <c r="GL83" s="21"/>
      <c r="GM83" s="21"/>
      <c r="GN83" s="21"/>
      <c r="GO83" s="21"/>
      <c r="GP83" s="21"/>
      <c r="GQ83" s="21"/>
      <c r="GR83" s="21"/>
      <c r="GS83" s="21"/>
      <c r="GT83" s="21"/>
      <c r="GU83" s="21"/>
      <c r="GV83" s="21"/>
      <c r="GW83" s="21"/>
      <c r="GX83" s="21"/>
      <c r="GY83" s="21"/>
      <c r="GZ83" s="21"/>
      <c r="HA83" s="21"/>
      <c r="HB83" s="21"/>
      <c r="HC83" s="21"/>
      <c r="HD83" s="21"/>
    </row>
    <row r="84" spans="1:212" s="13" customFormat="1" ht="3"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39"/>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39"/>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58"/>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58"/>
      <c r="FV84" s="21"/>
      <c r="FW84" s="21"/>
      <c r="FX84" s="21"/>
      <c r="FY84" s="21"/>
      <c r="FZ84" s="21"/>
      <c r="GA84" s="21"/>
      <c r="GB84" s="21"/>
      <c r="GC84" s="21"/>
      <c r="GD84" s="21"/>
      <c r="GE84" s="21"/>
      <c r="GF84" s="21"/>
      <c r="GG84" s="21"/>
      <c r="GH84" s="21"/>
      <c r="GI84" s="21"/>
      <c r="GJ84" s="21"/>
      <c r="GK84" s="21"/>
      <c r="GL84" s="21"/>
      <c r="GM84" s="21"/>
      <c r="GN84" s="21"/>
      <c r="GO84" s="21"/>
      <c r="GP84" s="21"/>
      <c r="GQ84" s="21"/>
      <c r="GR84" s="21"/>
      <c r="GS84" s="21"/>
      <c r="GT84" s="21"/>
      <c r="GU84" s="21"/>
      <c r="GV84" s="21"/>
      <c r="GW84" s="21"/>
      <c r="GX84" s="21"/>
      <c r="GY84" s="21"/>
      <c r="GZ84" s="21"/>
      <c r="HA84" s="21"/>
      <c r="HB84" s="21"/>
      <c r="HC84" s="21"/>
      <c r="HD84" s="21"/>
    </row>
    <row r="85" spans="1:212" s="13" customFormat="1" ht="3"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60"/>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61"/>
      <c r="FV85" s="21"/>
      <c r="FW85" s="21"/>
      <c r="FX85" s="21"/>
      <c r="FY85" s="21"/>
      <c r="FZ85" s="21"/>
      <c r="GA85" s="21"/>
      <c r="GB85" s="21"/>
      <c r="GC85" s="21"/>
      <c r="GD85" s="21"/>
      <c r="GE85" s="21"/>
      <c r="GF85" s="21"/>
      <c r="GG85" s="21"/>
      <c r="GH85" s="21"/>
      <c r="GI85" s="21"/>
      <c r="GJ85" s="21"/>
      <c r="GK85" s="21"/>
      <c r="GL85" s="21"/>
      <c r="GM85" s="21"/>
      <c r="GN85" s="21"/>
      <c r="GO85" s="21"/>
      <c r="GP85" s="21"/>
      <c r="GQ85" s="21"/>
      <c r="GR85" s="21"/>
      <c r="GS85" s="21"/>
      <c r="GT85" s="21"/>
      <c r="GU85" s="21"/>
      <c r="GV85" s="21"/>
      <c r="GW85" s="21"/>
      <c r="GX85" s="21"/>
      <c r="GY85" s="21"/>
      <c r="GZ85" s="21"/>
      <c r="HA85" s="21"/>
      <c r="HB85" s="21"/>
      <c r="HC85" s="21"/>
      <c r="HD85" s="21"/>
    </row>
    <row r="86" spans="1:212" s="13" customFormat="1" ht="3"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c r="GI86" s="21"/>
      <c r="GJ86" s="21"/>
      <c r="GK86" s="21"/>
      <c r="GL86" s="21"/>
      <c r="GM86" s="21"/>
      <c r="GN86" s="21"/>
      <c r="GO86" s="21"/>
      <c r="GP86" s="21"/>
      <c r="GQ86" s="21"/>
      <c r="GR86" s="21"/>
      <c r="GS86" s="21"/>
      <c r="GT86" s="21"/>
      <c r="GU86" s="21"/>
      <c r="GV86" s="21"/>
      <c r="GW86" s="21"/>
      <c r="GX86" s="21"/>
      <c r="GY86" s="21"/>
      <c r="GZ86" s="21"/>
      <c r="HA86" s="21"/>
      <c r="HB86" s="21"/>
      <c r="HC86" s="21"/>
      <c r="HD86" s="21"/>
    </row>
    <row r="87" spans="1:212" s="13" customFormat="1" ht="3"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row>
    <row r="88" spans="1:212" s="13" customFormat="1" ht="5.4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39"/>
      <c r="BQ88" s="39"/>
      <c r="BR88" s="39"/>
      <c r="BS88" s="39"/>
      <c r="BT88" s="39"/>
      <c r="BU88" s="39"/>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39"/>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56"/>
      <c r="EI88" s="57"/>
      <c r="EJ88" s="57"/>
      <c r="EK88" s="57"/>
      <c r="EL88" s="57"/>
      <c r="EM88" s="59"/>
      <c r="EN88" s="21"/>
      <c r="EO88" s="45"/>
      <c r="EP88" s="21"/>
      <c r="EQ88" s="45"/>
      <c r="ER88" s="21"/>
      <c r="ES88" s="45"/>
      <c r="ET88" s="21"/>
      <c r="EU88" s="45"/>
      <c r="EV88" s="21"/>
      <c r="EW88" s="45"/>
      <c r="EX88" s="21"/>
      <c r="EY88" s="53"/>
      <c r="EZ88" s="21"/>
      <c r="FA88" s="53"/>
      <c r="FB88" s="21"/>
      <c r="FC88" s="53"/>
      <c r="FD88" s="21"/>
      <c r="FE88" s="53"/>
      <c r="FF88" s="21"/>
      <c r="FG88" s="53"/>
      <c r="FH88" s="21"/>
      <c r="FI88" s="53"/>
      <c r="FJ88" s="21"/>
      <c r="FK88" s="53"/>
      <c r="FL88" s="21"/>
      <c r="FM88" s="53"/>
      <c r="FN88" s="21"/>
      <c r="FO88" s="45"/>
      <c r="FP88" s="21"/>
      <c r="FQ88" s="45"/>
      <c r="FR88" s="21"/>
      <c r="FS88" s="45"/>
      <c r="FT88" s="21"/>
      <c r="FU88" s="55"/>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row>
    <row r="89" spans="1:212" s="13" customFormat="1" ht="5.4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39"/>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39"/>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58"/>
      <c r="EN89" s="21"/>
      <c r="EO89" s="21"/>
      <c r="EP89" s="21"/>
      <c r="EQ89" s="21"/>
      <c r="ER89" s="21"/>
      <c r="ES89" s="21"/>
      <c r="ET89" s="21"/>
      <c r="EU89" s="21"/>
      <c r="EV89" s="21"/>
      <c r="EW89" s="21"/>
      <c r="EX89" s="21"/>
      <c r="EY89" s="54"/>
      <c r="EZ89" s="21"/>
      <c r="FA89" s="54"/>
      <c r="FB89" s="21"/>
      <c r="FC89" s="54"/>
      <c r="FD89" s="21"/>
      <c r="FE89" s="54"/>
      <c r="FF89" s="21"/>
      <c r="FG89" s="54"/>
      <c r="FH89" s="21"/>
      <c r="FI89" s="54"/>
      <c r="FJ89" s="21"/>
      <c r="FK89" s="54"/>
      <c r="FL89" s="21"/>
      <c r="FM89" s="54"/>
      <c r="FN89" s="21"/>
      <c r="FO89" s="21"/>
      <c r="FP89" s="21"/>
      <c r="FQ89" s="21"/>
      <c r="FR89" s="21"/>
      <c r="FS89" s="21"/>
      <c r="FT89" s="21"/>
      <c r="FU89" s="58"/>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row>
    <row r="90" spans="1:212" s="13" customFormat="1" ht="3"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39"/>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39"/>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58"/>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58"/>
      <c r="FV90" s="21"/>
      <c r="FW90" s="21"/>
      <c r="FX90" s="21"/>
      <c r="FY90" s="21"/>
      <c r="FZ90" s="21"/>
      <c r="GA90" s="21"/>
      <c r="GB90" s="21"/>
      <c r="GC90" s="21"/>
      <c r="GD90" s="21"/>
      <c r="GE90" s="21"/>
      <c r="GF90" s="21"/>
      <c r="GG90" s="21"/>
      <c r="GH90" s="21"/>
      <c r="GI90" s="21"/>
      <c r="GJ90" s="21"/>
      <c r="GK90" s="21"/>
      <c r="GL90" s="21"/>
      <c r="GM90" s="21"/>
      <c r="GN90" s="21"/>
      <c r="GO90" s="21"/>
      <c r="GP90" s="21"/>
      <c r="GQ90" s="21"/>
      <c r="GR90" s="21"/>
      <c r="GS90" s="21"/>
      <c r="GT90" s="21"/>
      <c r="GU90" s="21"/>
      <c r="GV90" s="21"/>
      <c r="GW90" s="21"/>
      <c r="GX90" s="21"/>
      <c r="GY90" s="21"/>
      <c r="GZ90" s="21"/>
      <c r="HA90" s="21"/>
      <c r="HB90" s="21"/>
      <c r="HC90" s="21"/>
      <c r="HD90" s="21"/>
    </row>
    <row r="91" spans="1:212" s="13" customFormat="1" ht="3"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60"/>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61"/>
      <c r="FV91" s="21"/>
      <c r="FW91" s="21"/>
      <c r="FX91" s="21"/>
      <c r="FY91" s="21"/>
      <c r="FZ91" s="21"/>
      <c r="GA91" s="21"/>
      <c r="GB91" s="21"/>
      <c r="GC91" s="21"/>
      <c r="GD91" s="21"/>
      <c r="GE91" s="21"/>
      <c r="GF91" s="21"/>
      <c r="GG91" s="21"/>
      <c r="GH91" s="21"/>
      <c r="GI91" s="21"/>
      <c r="GJ91" s="21"/>
      <c r="GK91" s="21"/>
      <c r="GL91" s="21"/>
      <c r="GM91" s="21"/>
      <c r="GN91" s="21"/>
      <c r="GO91" s="21"/>
      <c r="GP91" s="21"/>
      <c r="GQ91" s="21"/>
      <c r="GR91" s="21"/>
      <c r="GS91" s="21"/>
      <c r="GT91" s="21"/>
      <c r="GU91" s="21"/>
      <c r="GV91" s="21"/>
      <c r="GW91" s="21"/>
      <c r="GX91" s="21"/>
      <c r="GY91" s="21"/>
      <c r="GZ91" s="21"/>
      <c r="HA91" s="21"/>
      <c r="HB91" s="21"/>
      <c r="HC91" s="21"/>
      <c r="HD91" s="21"/>
    </row>
    <row r="92" spans="1:212" s="13" customFormat="1" ht="3"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c r="GI92" s="21"/>
      <c r="GJ92" s="21"/>
      <c r="GK92" s="21"/>
      <c r="GL92" s="21"/>
      <c r="GM92" s="21"/>
      <c r="GN92" s="21"/>
      <c r="GO92" s="21"/>
      <c r="GP92" s="21"/>
      <c r="GQ92" s="21"/>
      <c r="GR92" s="21"/>
      <c r="GS92" s="21"/>
      <c r="GT92" s="21"/>
      <c r="GU92" s="21"/>
      <c r="GV92" s="21"/>
      <c r="GW92" s="21"/>
      <c r="GX92" s="21"/>
      <c r="GY92" s="21"/>
      <c r="GZ92" s="21"/>
      <c r="HA92" s="21"/>
      <c r="HB92" s="21"/>
      <c r="HC92" s="21"/>
      <c r="HD92" s="21"/>
    </row>
    <row r="93" spans="1:212" s="13" customFormat="1" ht="3"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c r="GI93" s="21"/>
      <c r="GJ93" s="21"/>
      <c r="GK93" s="21"/>
      <c r="GL93" s="21"/>
      <c r="GM93" s="21"/>
      <c r="GN93" s="21"/>
      <c r="GO93" s="21"/>
      <c r="GP93" s="21"/>
      <c r="GQ93" s="21"/>
      <c r="GR93" s="21"/>
      <c r="GS93" s="21"/>
      <c r="GT93" s="21"/>
      <c r="GU93" s="21"/>
      <c r="GV93" s="21"/>
      <c r="GW93" s="21"/>
      <c r="GX93" s="21"/>
      <c r="GY93" s="21"/>
      <c r="GZ93" s="21"/>
      <c r="HA93" s="21"/>
      <c r="HB93" s="21"/>
      <c r="HC93" s="21"/>
      <c r="HD93" s="21"/>
    </row>
    <row r="94" spans="1:212" s="13" customFormat="1" ht="5.4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39"/>
      <c r="BQ94" s="39"/>
      <c r="BR94" s="39"/>
      <c r="BS94" s="39"/>
      <c r="BT94" s="39"/>
      <c r="BU94" s="39"/>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39"/>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56"/>
      <c r="EE94" s="57"/>
      <c r="EF94" s="57"/>
      <c r="EG94" s="57"/>
      <c r="EH94" s="57"/>
      <c r="EI94" s="59"/>
      <c r="EJ94" s="21"/>
      <c r="EK94" s="45"/>
      <c r="EL94" s="21"/>
      <c r="EM94" s="45"/>
      <c r="EN94" s="21"/>
      <c r="EO94" s="45"/>
      <c r="EP94" s="21"/>
      <c r="EQ94" s="45"/>
      <c r="ER94" s="21"/>
      <c r="ES94" s="45"/>
      <c r="ET94" s="21"/>
      <c r="EU94" s="53"/>
      <c r="EV94" s="21"/>
      <c r="EW94" s="53"/>
      <c r="EX94" s="21"/>
      <c r="EY94" s="53"/>
      <c r="EZ94" s="21"/>
      <c r="FA94" s="53"/>
      <c r="FB94" s="21"/>
      <c r="FC94" s="53"/>
      <c r="FD94" s="21"/>
      <c r="FE94" s="53"/>
      <c r="FF94" s="21"/>
      <c r="FG94" s="53"/>
      <c r="FH94" s="21"/>
      <c r="FI94" s="53"/>
      <c r="FJ94" s="21"/>
      <c r="FK94" s="53"/>
      <c r="FL94" s="21"/>
      <c r="FM94" s="45"/>
      <c r="FN94" s="21"/>
      <c r="FO94" s="45"/>
      <c r="FP94" s="21"/>
      <c r="FQ94" s="45"/>
      <c r="FR94" s="21"/>
      <c r="FS94" s="45"/>
      <c r="FT94" s="21"/>
      <c r="FU94" s="55"/>
      <c r="FV94" s="21"/>
      <c r="FW94" s="21"/>
      <c r="FX94" s="21"/>
      <c r="FY94" s="21"/>
      <c r="FZ94" s="21"/>
      <c r="GA94" s="21"/>
      <c r="GB94" s="21"/>
      <c r="GC94" s="21"/>
      <c r="GD94" s="21"/>
      <c r="GE94" s="21"/>
      <c r="GF94" s="21"/>
      <c r="GG94" s="21"/>
      <c r="GH94" s="21"/>
      <c r="GI94" s="21"/>
      <c r="GJ94" s="21"/>
      <c r="GK94" s="21"/>
      <c r="GL94" s="21"/>
      <c r="GM94" s="21"/>
      <c r="GN94" s="21"/>
      <c r="GO94" s="21"/>
      <c r="GP94" s="21"/>
      <c r="GQ94" s="21"/>
      <c r="GR94" s="21"/>
      <c r="GS94" s="21"/>
      <c r="GT94" s="21"/>
      <c r="GU94" s="21"/>
      <c r="GV94" s="21"/>
      <c r="GW94" s="21"/>
      <c r="GX94" s="21"/>
      <c r="GY94" s="21"/>
      <c r="GZ94" s="21"/>
      <c r="HA94" s="21"/>
      <c r="HB94" s="21"/>
      <c r="HC94" s="21"/>
      <c r="HD94" s="21"/>
    </row>
    <row r="95" spans="1:212" s="13" customFormat="1" ht="5.4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39"/>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39"/>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58"/>
      <c r="EJ95" s="21"/>
      <c r="EK95" s="21"/>
      <c r="EL95" s="21"/>
      <c r="EM95" s="21"/>
      <c r="EN95" s="21"/>
      <c r="EO95" s="21"/>
      <c r="EP95" s="21"/>
      <c r="EQ95" s="21"/>
      <c r="ER95" s="21"/>
      <c r="ES95" s="21"/>
      <c r="ET95" s="21"/>
      <c r="EU95" s="54"/>
      <c r="EV95" s="21"/>
      <c r="EW95" s="54"/>
      <c r="EX95" s="21"/>
      <c r="EY95" s="54"/>
      <c r="EZ95" s="21"/>
      <c r="FA95" s="54"/>
      <c r="FB95" s="21"/>
      <c r="FC95" s="54"/>
      <c r="FD95" s="21"/>
      <c r="FE95" s="54"/>
      <c r="FF95" s="21"/>
      <c r="FG95" s="54"/>
      <c r="FH95" s="21"/>
      <c r="FI95" s="54"/>
      <c r="FJ95" s="21"/>
      <c r="FK95" s="54"/>
      <c r="FL95" s="21"/>
      <c r="FM95" s="21"/>
      <c r="FN95" s="21"/>
      <c r="FO95" s="21"/>
      <c r="FP95" s="21"/>
      <c r="FQ95" s="21"/>
      <c r="FR95" s="21"/>
      <c r="FS95" s="21"/>
      <c r="FT95" s="21"/>
      <c r="FU95" s="58"/>
      <c r="FV95" s="21"/>
      <c r="FW95" s="21"/>
      <c r="FX95" s="21"/>
      <c r="FY95" s="21"/>
      <c r="FZ95" s="21"/>
      <c r="GA95" s="21"/>
      <c r="GB95" s="21"/>
      <c r="GC95" s="21"/>
      <c r="GD95" s="21"/>
      <c r="GE95" s="21"/>
      <c r="GF95" s="21"/>
      <c r="GG95" s="21"/>
      <c r="GH95" s="21"/>
      <c r="GI95" s="21"/>
      <c r="GJ95" s="21"/>
      <c r="GK95" s="21"/>
      <c r="GL95" s="21"/>
      <c r="GM95" s="21"/>
      <c r="GN95" s="21"/>
      <c r="GO95" s="21"/>
      <c r="GP95" s="21"/>
      <c r="GQ95" s="21"/>
      <c r="GR95" s="21"/>
      <c r="GS95" s="21"/>
      <c r="GT95" s="21"/>
      <c r="GU95" s="21"/>
      <c r="GV95" s="21"/>
      <c r="GW95" s="21"/>
      <c r="GX95" s="21"/>
      <c r="GY95" s="21"/>
      <c r="GZ95" s="21"/>
      <c r="HA95" s="21"/>
      <c r="HB95" s="21"/>
      <c r="HC95" s="21"/>
      <c r="HD95" s="21"/>
    </row>
    <row r="96" spans="1:212" s="13" customFormat="1" ht="3"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39"/>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39"/>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58"/>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58"/>
      <c r="FV96" s="21"/>
      <c r="FW96" s="21"/>
      <c r="FX96" s="21"/>
      <c r="FY96" s="21"/>
      <c r="FZ96" s="21"/>
      <c r="GA96" s="21"/>
      <c r="GB96" s="21"/>
      <c r="GC96" s="21"/>
      <c r="GD96" s="21"/>
      <c r="GE96" s="21"/>
      <c r="GF96" s="21"/>
      <c r="GG96" s="21"/>
      <c r="GH96" s="21"/>
      <c r="GI96" s="21"/>
      <c r="GJ96" s="21"/>
      <c r="GK96" s="21"/>
      <c r="GL96" s="21"/>
      <c r="GM96" s="21"/>
      <c r="GN96" s="21"/>
      <c r="GO96" s="21"/>
      <c r="GP96" s="21"/>
      <c r="GQ96" s="21"/>
      <c r="GR96" s="21"/>
      <c r="GS96" s="21"/>
      <c r="GT96" s="21"/>
      <c r="GU96" s="21"/>
      <c r="GV96" s="21"/>
      <c r="GW96" s="21"/>
      <c r="GX96" s="21"/>
      <c r="GY96" s="21"/>
      <c r="GZ96" s="21"/>
      <c r="HA96" s="21"/>
      <c r="HB96" s="21"/>
      <c r="HC96" s="21"/>
      <c r="HD96" s="21"/>
    </row>
    <row r="97" spans="1:212" s="13" customFormat="1" ht="3"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60"/>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6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row>
    <row r="98" spans="1:212" s="13" customFormat="1" ht="3"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c r="GI98" s="21"/>
      <c r="GJ98" s="21"/>
      <c r="GK98" s="21"/>
      <c r="GL98" s="21"/>
      <c r="GM98" s="21"/>
      <c r="GN98" s="21"/>
      <c r="GO98" s="21"/>
      <c r="GP98" s="21"/>
      <c r="GQ98" s="21"/>
      <c r="GR98" s="21"/>
      <c r="GS98" s="21"/>
      <c r="GT98" s="21"/>
      <c r="GU98" s="21"/>
      <c r="GV98" s="21"/>
      <c r="GW98" s="21"/>
      <c r="GX98" s="21"/>
      <c r="GY98" s="21"/>
      <c r="GZ98" s="21"/>
      <c r="HA98" s="21"/>
      <c r="HB98" s="21"/>
      <c r="HC98" s="21"/>
      <c r="HD98" s="21"/>
    </row>
    <row r="99" spans="1:212" s="13" customFormat="1" ht="3"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c r="GI99" s="21"/>
      <c r="GJ99" s="21"/>
      <c r="GK99" s="21"/>
      <c r="GL99" s="21"/>
      <c r="GM99" s="21"/>
      <c r="GN99" s="21"/>
      <c r="GO99" s="21"/>
      <c r="GP99" s="21"/>
      <c r="GQ99" s="21"/>
      <c r="GR99" s="21"/>
      <c r="GS99" s="21"/>
      <c r="GT99" s="21"/>
      <c r="GU99" s="21"/>
      <c r="GV99" s="21"/>
      <c r="GW99" s="21"/>
      <c r="GX99" s="21"/>
      <c r="GY99" s="21"/>
      <c r="GZ99" s="21"/>
      <c r="HA99" s="21"/>
      <c r="HB99" s="21"/>
      <c r="HC99" s="21"/>
      <c r="HD99" s="21"/>
    </row>
    <row r="100" spans="1:212" s="13" customFormat="1" ht="5.4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39"/>
      <c r="BQ100" s="39"/>
      <c r="BR100" s="39"/>
      <c r="BS100" s="39"/>
      <c r="BT100" s="39"/>
      <c r="BU100" s="39"/>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39"/>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56"/>
      <c r="EA100" s="57"/>
      <c r="EB100" s="57"/>
      <c r="EC100" s="57"/>
      <c r="ED100" s="57"/>
      <c r="EE100" s="59"/>
      <c r="EF100" s="21"/>
      <c r="EG100" s="45"/>
      <c r="EH100" s="21"/>
      <c r="EI100" s="45"/>
      <c r="EJ100" s="21"/>
      <c r="EK100" s="45"/>
      <c r="EL100" s="21"/>
      <c r="EM100" s="45"/>
      <c r="EN100" s="21"/>
      <c r="EO100" s="45"/>
      <c r="EP100" s="21"/>
      <c r="EQ100" s="53"/>
      <c r="ER100" s="21"/>
      <c r="ES100" s="53"/>
      <c r="ET100" s="21"/>
      <c r="EU100" s="53"/>
      <c r="EV100" s="21"/>
      <c r="EW100" s="53"/>
      <c r="EX100" s="21"/>
      <c r="EY100" s="53"/>
      <c r="EZ100" s="21"/>
      <c r="FA100" s="53"/>
      <c r="FB100" s="21"/>
      <c r="FC100" s="53"/>
      <c r="FD100" s="21"/>
      <c r="FE100" s="53"/>
      <c r="FF100" s="21"/>
      <c r="FG100" s="53"/>
      <c r="FH100" s="21"/>
      <c r="FI100" s="53"/>
      <c r="FJ100" s="21"/>
      <c r="FK100" s="45"/>
      <c r="FL100" s="21"/>
      <c r="FM100" s="45"/>
      <c r="FN100" s="21"/>
      <c r="FO100" s="45"/>
      <c r="FP100" s="21"/>
      <c r="FQ100" s="45"/>
      <c r="FR100" s="21"/>
      <c r="FS100" s="45"/>
      <c r="FT100" s="21"/>
      <c r="FU100" s="55"/>
      <c r="FV100" s="21"/>
      <c r="FW100" s="21"/>
      <c r="FX100" s="21"/>
      <c r="FY100" s="21"/>
      <c r="FZ100" s="21"/>
      <c r="GA100" s="21"/>
      <c r="GB100" s="21"/>
      <c r="GC100" s="21"/>
      <c r="GD100" s="21"/>
      <c r="GE100" s="21"/>
      <c r="GF100" s="21"/>
      <c r="GG100" s="21"/>
      <c r="GH100" s="21"/>
      <c r="GI100" s="21"/>
      <c r="GJ100" s="21"/>
      <c r="GK100" s="21"/>
      <c r="GL100" s="21"/>
      <c r="GM100" s="21"/>
      <c r="GN100" s="21"/>
      <c r="GO100" s="21"/>
      <c r="GP100" s="21"/>
      <c r="GQ100" s="21"/>
      <c r="GR100" s="21"/>
      <c r="GS100" s="21"/>
      <c r="GT100" s="21"/>
      <c r="GU100" s="21"/>
      <c r="GV100" s="21"/>
      <c r="GW100" s="21"/>
      <c r="GX100" s="21"/>
      <c r="GY100" s="21"/>
      <c r="GZ100" s="21"/>
      <c r="HA100" s="21"/>
      <c r="HB100" s="21"/>
      <c r="HC100" s="21"/>
      <c r="HD100" s="21"/>
    </row>
    <row r="101" spans="1:212" s="13" customFormat="1" ht="5.4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39"/>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39"/>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58"/>
      <c r="EF101" s="21"/>
      <c r="EG101" s="21"/>
      <c r="EH101" s="21"/>
      <c r="EI101" s="21"/>
      <c r="EJ101" s="21"/>
      <c r="EK101" s="21"/>
      <c r="EL101" s="21"/>
      <c r="EM101" s="21"/>
      <c r="EN101" s="21"/>
      <c r="EO101" s="21"/>
      <c r="EP101" s="21"/>
      <c r="EQ101" s="54"/>
      <c r="ER101" s="21"/>
      <c r="ES101" s="54"/>
      <c r="ET101" s="21"/>
      <c r="EU101" s="54"/>
      <c r="EV101" s="21"/>
      <c r="EW101" s="54"/>
      <c r="EX101" s="21"/>
      <c r="EY101" s="54"/>
      <c r="EZ101" s="21"/>
      <c r="FA101" s="54"/>
      <c r="FB101" s="21"/>
      <c r="FC101" s="54"/>
      <c r="FD101" s="21"/>
      <c r="FE101" s="54"/>
      <c r="FF101" s="21"/>
      <c r="FG101" s="54"/>
      <c r="FH101" s="21"/>
      <c r="FI101" s="54"/>
      <c r="FJ101" s="21"/>
      <c r="FK101" s="21"/>
      <c r="FL101" s="21"/>
      <c r="FM101" s="21"/>
      <c r="FN101" s="21"/>
      <c r="FO101" s="21"/>
      <c r="FP101" s="21"/>
      <c r="FQ101" s="21"/>
      <c r="FR101" s="21"/>
      <c r="FS101" s="21"/>
      <c r="FT101" s="21"/>
      <c r="FU101" s="58"/>
      <c r="FV101" s="21"/>
      <c r="FW101" s="21"/>
      <c r="FX101" s="21"/>
      <c r="FY101" s="21"/>
      <c r="FZ101" s="21"/>
      <c r="GA101" s="21"/>
      <c r="GB101" s="21"/>
      <c r="GC101" s="21"/>
      <c r="GD101" s="21"/>
      <c r="GE101" s="21"/>
      <c r="GF101" s="21"/>
      <c r="GG101" s="21"/>
      <c r="GH101" s="21"/>
      <c r="GI101" s="21"/>
      <c r="GJ101" s="21"/>
      <c r="GK101" s="21"/>
      <c r="GL101" s="21"/>
      <c r="GM101" s="21"/>
      <c r="GN101" s="21"/>
      <c r="GO101" s="21"/>
      <c r="GP101" s="21"/>
      <c r="GQ101" s="21"/>
      <c r="GR101" s="21"/>
      <c r="GS101" s="21"/>
      <c r="GT101" s="21"/>
      <c r="GU101" s="21"/>
      <c r="GV101" s="21"/>
      <c r="GW101" s="21"/>
      <c r="GX101" s="21"/>
      <c r="GY101" s="21"/>
      <c r="GZ101" s="21"/>
      <c r="HA101" s="21"/>
      <c r="HB101" s="21"/>
      <c r="HC101" s="21"/>
      <c r="HD101" s="21"/>
    </row>
    <row r="102" spans="1:212" s="13" customFormat="1" ht="3"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39"/>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39"/>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58"/>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58"/>
      <c r="FV102" s="21"/>
      <c r="FW102" s="21"/>
      <c r="FX102" s="21"/>
      <c r="FY102" s="21"/>
      <c r="FZ102" s="21"/>
      <c r="GA102" s="21"/>
      <c r="GB102" s="21"/>
      <c r="GC102" s="21"/>
      <c r="GD102" s="21"/>
      <c r="GE102" s="21"/>
      <c r="GF102" s="21"/>
      <c r="GG102" s="21"/>
      <c r="GH102" s="21"/>
      <c r="GI102" s="21"/>
      <c r="GJ102" s="21"/>
      <c r="GK102" s="21"/>
      <c r="GL102" s="21"/>
      <c r="GM102" s="21"/>
      <c r="GN102" s="21"/>
      <c r="GO102" s="21"/>
      <c r="GP102" s="21"/>
      <c r="GQ102" s="21"/>
      <c r="GR102" s="21"/>
      <c r="GS102" s="21"/>
      <c r="GT102" s="21"/>
      <c r="GU102" s="21"/>
      <c r="GV102" s="21"/>
      <c r="GW102" s="21"/>
      <c r="GX102" s="21"/>
      <c r="GY102" s="21"/>
      <c r="GZ102" s="21"/>
      <c r="HA102" s="21"/>
      <c r="HB102" s="21"/>
      <c r="HC102" s="21"/>
      <c r="HD102" s="21"/>
    </row>
    <row r="103" spans="1:212" s="13" customFormat="1" ht="3"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60"/>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61"/>
      <c r="FV103" s="21"/>
      <c r="FW103" s="21"/>
      <c r="FX103" s="21"/>
      <c r="FY103" s="21"/>
      <c r="FZ103" s="21"/>
      <c r="GA103" s="21"/>
      <c r="GB103" s="21"/>
      <c r="GC103" s="21"/>
      <c r="GD103" s="21"/>
      <c r="GE103" s="21"/>
      <c r="GF103" s="21"/>
      <c r="GG103" s="21"/>
      <c r="GH103" s="21"/>
      <c r="GI103" s="21"/>
      <c r="GJ103" s="21"/>
      <c r="GK103" s="21"/>
      <c r="GL103" s="21"/>
      <c r="GM103" s="21"/>
      <c r="GN103" s="21"/>
      <c r="GO103" s="21"/>
      <c r="GP103" s="21"/>
      <c r="GQ103" s="21"/>
      <c r="GR103" s="21"/>
      <c r="GS103" s="21"/>
      <c r="GT103" s="21"/>
      <c r="GU103" s="21"/>
      <c r="GV103" s="21"/>
      <c r="GW103" s="21"/>
      <c r="GX103" s="21"/>
      <c r="GY103" s="21"/>
      <c r="GZ103" s="21"/>
      <c r="HA103" s="21"/>
      <c r="HB103" s="21"/>
      <c r="HC103" s="21"/>
      <c r="HD103" s="21"/>
    </row>
    <row r="104" spans="1:212" s="13" customFormat="1" ht="3"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c r="GI104" s="21"/>
      <c r="GJ104" s="21"/>
      <c r="GK104" s="21"/>
      <c r="GL104" s="21"/>
      <c r="GM104" s="21"/>
      <c r="GN104" s="21"/>
      <c r="GO104" s="21"/>
      <c r="GP104" s="21"/>
      <c r="GQ104" s="21"/>
      <c r="GR104" s="21"/>
      <c r="GS104" s="21"/>
      <c r="GT104" s="21"/>
      <c r="GU104" s="21"/>
      <c r="GV104" s="21"/>
      <c r="GW104" s="21"/>
      <c r="GX104" s="21"/>
      <c r="GY104" s="21"/>
      <c r="GZ104" s="21"/>
      <c r="HA104" s="21"/>
      <c r="HB104" s="21"/>
      <c r="HC104" s="21"/>
      <c r="HD104" s="21"/>
    </row>
    <row r="105" spans="1:212" s="13" customFormat="1" ht="3"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c r="GI105" s="21"/>
      <c r="GJ105" s="21"/>
      <c r="GK105" s="21"/>
      <c r="GL105" s="21"/>
      <c r="GM105" s="21"/>
      <c r="GN105" s="21"/>
      <c r="GO105" s="21"/>
      <c r="GP105" s="21"/>
      <c r="GQ105" s="21"/>
      <c r="GR105" s="21"/>
      <c r="GS105" s="21"/>
      <c r="GT105" s="21"/>
      <c r="GU105" s="21"/>
      <c r="GV105" s="21"/>
      <c r="GW105" s="21"/>
      <c r="GX105" s="21"/>
      <c r="GY105" s="21"/>
      <c r="GZ105" s="21"/>
      <c r="HA105" s="21"/>
      <c r="HB105" s="21"/>
      <c r="HC105" s="21"/>
      <c r="HD105" s="21"/>
    </row>
    <row r="106" spans="1:212" s="13" customFormat="1" ht="5.4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39"/>
      <c r="BQ106" s="39"/>
      <c r="BR106" s="39"/>
      <c r="BS106" s="39"/>
      <c r="BT106" s="39"/>
      <c r="BU106" s="39"/>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39"/>
      <c r="DD106" s="21"/>
      <c r="DE106" s="21"/>
      <c r="DF106" s="21"/>
      <c r="DG106" s="21"/>
      <c r="DH106" s="21"/>
      <c r="DI106" s="21"/>
      <c r="DJ106" s="21"/>
      <c r="DK106" s="21"/>
      <c r="DL106" s="21"/>
      <c r="DM106" s="21"/>
      <c r="DN106" s="21"/>
      <c r="DO106" s="21"/>
      <c r="DP106" s="21"/>
      <c r="DQ106" s="21"/>
      <c r="DR106" s="21"/>
      <c r="DS106" s="21"/>
      <c r="DT106" s="21"/>
      <c r="DU106" s="21"/>
      <c r="DV106" s="56"/>
      <c r="DW106" s="57"/>
      <c r="DX106" s="57"/>
      <c r="DY106" s="57"/>
      <c r="DZ106" s="57"/>
      <c r="EA106" s="59"/>
      <c r="EB106" s="21"/>
      <c r="EC106" s="45"/>
      <c r="ED106" s="21"/>
      <c r="EE106" s="45"/>
      <c r="EF106" s="21"/>
      <c r="EG106" s="45"/>
      <c r="EH106" s="21"/>
      <c r="EI106" s="45"/>
      <c r="EJ106" s="21"/>
      <c r="EK106" s="45"/>
      <c r="EL106" s="21"/>
      <c r="EM106" s="45"/>
      <c r="EN106" s="21"/>
      <c r="EO106" s="53"/>
      <c r="EP106" s="21"/>
      <c r="EQ106" s="53"/>
      <c r="ER106" s="21"/>
      <c r="ES106" s="53"/>
      <c r="ET106" s="21"/>
      <c r="EU106" s="53"/>
      <c r="EV106" s="21"/>
      <c r="EW106" s="53"/>
      <c r="EX106" s="21"/>
      <c r="EY106" s="53"/>
      <c r="EZ106" s="21"/>
      <c r="FA106" s="53"/>
      <c r="FB106" s="21"/>
      <c r="FC106" s="53"/>
      <c r="FD106" s="21"/>
      <c r="FE106" s="53"/>
      <c r="FF106" s="21"/>
      <c r="FG106" s="53"/>
      <c r="FH106" s="21"/>
      <c r="FI106" s="53"/>
      <c r="FJ106" s="21"/>
      <c r="FK106" s="45"/>
      <c r="FL106" s="21"/>
      <c r="FM106" s="45"/>
      <c r="FN106" s="21"/>
      <c r="FO106" s="45"/>
      <c r="FP106" s="21"/>
      <c r="FQ106" s="45"/>
      <c r="FR106" s="21"/>
      <c r="FS106" s="45"/>
      <c r="FT106" s="21"/>
      <c r="FU106" s="55"/>
      <c r="FV106" s="21"/>
      <c r="FW106" s="21"/>
      <c r="FX106" s="21"/>
      <c r="FY106" s="21"/>
      <c r="FZ106" s="21"/>
      <c r="GA106" s="21"/>
      <c r="GB106" s="21"/>
      <c r="GC106" s="21"/>
      <c r="GD106" s="21"/>
      <c r="GE106" s="21"/>
      <c r="GF106" s="21"/>
      <c r="GG106" s="21"/>
      <c r="GH106" s="21"/>
      <c r="GI106" s="21"/>
      <c r="GJ106" s="21"/>
      <c r="GK106" s="21"/>
      <c r="GL106" s="21"/>
      <c r="GM106" s="21"/>
      <c r="GN106" s="21"/>
      <c r="GO106" s="21"/>
      <c r="GP106" s="21"/>
      <c r="GQ106" s="21"/>
      <c r="GR106" s="21"/>
      <c r="GS106" s="21"/>
      <c r="GT106" s="21"/>
      <c r="GU106" s="21"/>
      <c r="GV106" s="21"/>
      <c r="GW106" s="21"/>
      <c r="GX106" s="21"/>
      <c r="GY106" s="21"/>
      <c r="GZ106" s="21"/>
      <c r="HA106" s="21"/>
      <c r="HB106" s="21"/>
      <c r="HC106" s="21"/>
      <c r="HD106" s="21"/>
    </row>
    <row r="107" spans="1:212" s="13" customFormat="1" ht="5.45"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39"/>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39"/>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58"/>
      <c r="EB107" s="21"/>
      <c r="EC107" s="21"/>
      <c r="ED107" s="21"/>
      <c r="EE107" s="21"/>
      <c r="EF107" s="21"/>
      <c r="EG107" s="21"/>
      <c r="EH107" s="21"/>
      <c r="EI107" s="21"/>
      <c r="EJ107" s="21"/>
      <c r="EK107" s="21"/>
      <c r="EL107" s="21"/>
      <c r="EM107" s="21"/>
      <c r="EN107" s="21"/>
      <c r="EO107" s="54"/>
      <c r="EP107" s="21"/>
      <c r="EQ107" s="54"/>
      <c r="ER107" s="21"/>
      <c r="ES107" s="54"/>
      <c r="ET107" s="21"/>
      <c r="EU107" s="54"/>
      <c r="EV107" s="21"/>
      <c r="EW107" s="54"/>
      <c r="EX107" s="21"/>
      <c r="EY107" s="54"/>
      <c r="EZ107" s="21"/>
      <c r="FA107" s="54"/>
      <c r="FB107" s="21"/>
      <c r="FC107" s="54"/>
      <c r="FD107" s="21"/>
      <c r="FE107" s="54"/>
      <c r="FF107" s="21"/>
      <c r="FG107" s="54"/>
      <c r="FH107" s="21"/>
      <c r="FI107" s="54"/>
      <c r="FJ107" s="21"/>
      <c r="FK107" s="21"/>
      <c r="FL107" s="21"/>
      <c r="FM107" s="21"/>
      <c r="FN107" s="21"/>
      <c r="FO107" s="21"/>
      <c r="FP107" s="21"/>
      <c r="FQ107" s="21"/>
      <c r="FR107" s="21"/>
      <c r="FS107" s="21"/>
      <c r="FT107" s="21"/>
      <c r="FU107" s="58"/>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row>
    <row r="108" spans="1:212" s="13" customFormat="1" ht="3" customHeight="1"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39"/>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39"/>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58"/>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58"/>
      <c r="FV108" s="21"/>
      <c r="FW108" s="21"/>
      <c r="FX108" s="21"/>
      <c r="FY108" s="21"/>
      <c r="FZ108" s="21"/>
      <c r="GA108" s="21"/>
      <c r="GB108" s="21"/>
      <c r="GC108" s="21"/>
      <c r="GD108" s="21"/>
      <c r="GE108" s="21"/>
      <c r="GF108" s="21"/>
      <c r="GG108" s="21"/>
      <c r="GH108" s="21"/>
      <c r="GI108" s="21"/>
      <c r="GJ108" s="21"/>
      <c r="GK108" s="21"/>
      <c r="GL108" s="21"/>
      <c r="GM108" s="21"/>
      <c r="GN108" s="21"/>
      <c r="GO108" s="21"/>
      <c r="GP108" s="21"/>
      <c r="GQ108" s="21"/>
      <c r="GR108" s="21"/>
      <c r="GS108" s="21"/>
      <c r="GT108" s="21"/>
      <c r="GU108" s="21"/>
      <c r="GV108" s="21"/>
      <c r="GW108" s="21"/>
      <c r="GX108" s="21"/>
      <c r="GY108" s="21"/>
      <c r="GZ108" s="21"/>
      <c r="HA108" s="21"/>
      <c r="HB108" s="21"/>
      <c r="HC108" s="21"/>
      <c r="HD108" s="21"/>
    </row>
    <row r="109" spans="1:212" s="13" customFormat="1" ht="3" customHeight="1"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60"/>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61"/>
      <c r="FV109" s="21"/>
      <c r="FW109" s="21"/>
      <c r="FX109" s="21"/>
      <c r="FY109" s="21"/>
      <c r="FZ109" s="21"/>
      <c r="GA109" s="21"/>
      <c r="GB109" s="21"/>
      <c r="GC109" s="21"/>
      <c r="GD109" s="21"/>
      <c r="GE109" s="21"/>
      <c r="GF109" s="21"/>
      <c r="GG109" s="21"/>
      <c r="GH109" s="21"/>
      <c r="GI109" s="21"/>
      <c r="GJ109" s="21"/>
      <c r="GK109" s="21"/>
      <c r="GL109" s="21"/>
      <c r="GM109" s="21"/>
      <c r="GN109" s="21"/>
      <c r="GO109" s="21"/>
      <c r="GP109" s="21"/>
      <c r="GQ109" s="21"/>
      <c r="GR109" s="21"/>
      <c r="GS109" s="21"/>
      <c r="GT109" s="21"/>
      <c r="GU109" s="21"/>
      <c r="GV109" s="21"/>
      <c r="GW109" s="21"/>
      <c r="GX109" s="21"/>
      <c r="GY109" s="21"/>
      <c r="GZ109" s="21"/>
      <c r="HA109" s="21"/>
      <c r="HB109" s="21"/>
      <c r="HC109" s="21"/>
      <c r="HD109" s="21"/>
    </row>
    <row r="110" spans="1:212" s="13" customFormat="1" ht="3" customHeight="1"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c r="GI110" s="21"/>
      <c r="GJ110" s="21"/>
      <c r="GK110" s="21"/>
      <c r="GL110" s="21"/>
      <c r="GM110" s="21"/>
      <c r="GN110" s="21"/>
      <c r="GO110" s="21"/>
      <c r="GP110" s="21"/>
      <c r="GQ110" s="21"/>
      <c r="GR110" s="21"/>
      <c r="GS110" s="21"/>
      <c r="GT110" s="21"/>
      <c r="GU110" s="21"/>
      <c r="GV110" s="21"/>
      <c r="GW110" s="21"/>
      <c r="GX110" s="21"/>
      <c r="GY110" s="21"/>
      <c r="GZ110" s="21"/>
      <c r="HA110" s="21"/>
      <c r="HB110" s="21"/>
      <c r="HC110" s="21"/>
      <c r="HD110" s="21"/>
    </row>
    <row r="111" spans="1:212" s="13" customFormat="1" ht="3" customHeight="1"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c r="GI111" s="21"/>
      <c r="GJ111" s="21"/>
      <c r="GK111" s="21"/>
      <c r="GL111" s="21"/>
      <c r="GM111" s="21"/>
      <c r="GN111" s="21"/>
      <c r="GO111" s="21"/>
      <c r="GP111" s="21"/>
      <c r="GQ111" s="21"/>
      <c r="GR111" s="21"/>
      <c r="GS111" s="21"/>
      <c r="GT111" s="21"/>
      <c r="GU111" s="21"/>
      <c r="GV111" s="21"/>
      <c r="GW111" s="21"/>
      <c r="GX111" s="21"/>
      <c r="GY111" s="21"/>
      <c r="GZ111" s="21"/>
      <c r="HA111" s="21"/>
      <c r="HB111" s="21"/>
      <c r="HC111" s="21"/>
      <c r="HD111" s="21"/>
    </row>
    <row r="112" spans="1:212" s="13" customFormat="1" ht="5.45" customHeight="1"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39"/>
      <c r="BQ112" s="39"/>
      <c r="BR112" s="39"/>
      <c r="BS112" s="39"/>
      <c r="BT112" s="39"/>
      <c r="BU112" s="39"/>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39"/>
      <c r="DD112" s="21"/>
      <c r="DE112" s="21"/>
      <c r="DF112" s="21"/>
      <c r="DG112" s="21"/>
      <c r="DH112" s="21"/>
      <c r="DI112" s="21"/>
      <c r="DJ112" s="21"/>
      <c r="DK112" s="21"/>
      <c r="DL112" s="21"/>
      <c r="DM112" s="21"/>
      <c r="DN112" s="21"/>
      <c r="DO112" s="21"/>
      <c r="DP112" s="21"/>
      <c r="DQ112" s="21"/>
      <c r="DR112" s="56"/>
      <c r="DS112" s="57"/>
      <c r="DT112" s="57"/>
      <c r="DU112" s="57"/>
      <c r="DV112" s="57"/>
      <c r="DW112" s="59"/>
      <c r="DX112" s="21"/>
      <c r="DY112" s="45"/>
      <c r="DZ112" s="21"/>
      <c r="EA112" s="45"/>
      <c r="EB112" s="21"/>
      <c r="EC112" s="45"/>
      <c r="ED112" s="21"/>
      <c r="EE112" s="45"/>
      <c r="EF112" s="21"/>
      <c r="EG112" s="45"/>
      <c r="EH112" s="21"/>
      <c r="EI112" s="45"/>
      <c r="EJ112" s="21"/>
      <c r="EK112" s="53"/>
      <c r="EL112" s="21"/>
      <c r="EM112" s="53"/>
      <c r="EN112" s="21"/>
      <c r="EO112" s="53"/>
      <c r="EP112" s="21"/>
      <c r="EQ112" s="53"/>
      <c r="ER112" s="21"/>
      <c r="ES112" s="53"/>
      <c r="ET112" s="21"/>
      <c r="EU112" s="53"/>
      <c r="EV112" s="21"/>
      <c r="EW112" s="53"/>
      <c r="EX112" s="21"/>
      <c r="EY112" s="53"/>
      <c r="EZ112" s="21"/>
      <c r="FA112" s="53"/>
      <c r="FB112" s="21"/>
      <c r="FC112" s="53"/>
      <c r="FD112" s="21"/>
      <c r="FE112" s="53"/>
      <c r="FF112" s="21"/>
      <c r="FG112" s="53"/>
      <c r="FH112" s="21"/>
      <c r="FI112" s="45"/>
      <c r="FJ112" s="21"/>
      <c r="FK112" s="45"/>
      <c r="FL112" s="21"/>
      <c r="FM112" s="45"/>
      <c r="FN112" s="21"/>
      <c r="FO112" s="45"/>
      <c r="FP112" s="21"/>
      <c r="FQ112" s="45"/>
      <c r="FR112" s="21"/>
      <c r="FS112" s="45"/>
      <c r="FT112" s="21"/>
      <c r="FU112" s="55"/>
      <c r="FV112" s="21"/>
      <c r="FW112" s="21"/>
      <c r="FX112" s="21"/>
      <c r="FY112" s="21"/>
      <c r="FZ112" s="21"/>
      <c r="GA112" s="21"/>
      <c r="GB112" s="21"/>
      <c r="GC112" s="21"/>
      <c r="GD112" s="21"/>
      <c r="GE112" s="21"/>
      <c r="GF112" s="21"/>
      <c r="GG112" s="21"/>
      <c r="GH112" s="21"/>
      <c r="GI112" s="21"/>
      <c r="GJ112" s="21"/>
      <c r="GK112" s="21"/>
      <c r="GL112" s="21"/>
      <c r="GM112" s="21"/>
      <c r="GN112" s="21"/>
      <c r="GO112" s="21"/>
      <c r="GP112" s="21"/>
      <c r="GQ112" s="21"/>
      <c r="GR112" s="21"/>
      <c r="GS112" s="21"/>
      <c r="GT112" s="21"/>
      <c r="GU112" s="21"/>
      <c r="GV112" s="21"/>
      <c r="GW112" s="21"/>
      <c r="GX112" s="21"/>
      <c r="GY112" s="21"/>
      <c r="GZ112" s="21"/>
      <c r="HA112" s="21"/>
      <c r="HB112" s="21"/>
      <c r="HC112" s="21"/>
      <c r="HD112" s="21"/>
    </row>
    <row r="113" spans="1:212" s="13" customFormat="1" ht="5.45" customHeight="1"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39"/>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39"/>
      <c r="DD113" s="21"/>
      <c r="DE113" s="21"/>
      <c r="DF113" s="21"/>
      <c r="DG113" s="21"/>
      <c r="DH113" s="21"/>
      <c r="DI113" s="21"/>
      <c r="DJ113" s="21"/>
      <c r="DK113" s="21"/>
      <c r="DL113" s="21"/>
      <c r="DM113" s="21"/>
      <c r="DN113" s="21"/>
      <c r="DO113" s="21"/>
      <c r="DP113" s="21"/>
      <c r="DQ113" s="21"/>
      <c r="DR113" s="21"/>
      <c r="DS113" s="21"/>
      <c r="DT113" s="21"/>
      <c r="DU113" s="21"/>
      <c r="DV113" s="21"/>
      <c r="DW113" s="58"/>
      <c r="DX113" s="21"/>
      <c r="DY113" s="21"/>
      <c r="DZ113" s="21"/>
      <c r="EA113" s="21"/>
      <c r="EB113" s="21"/>
      <c r="EC113" s="21"/>
      <c r="ED113" s="21"/>
      <c r="EE113" s="21"/>
      <c r="EF113" s="21"/>
      <c r="EG113" s="21"/>
      <c r="EH113" s="21"/>
      <c r="EI113" s="21"/>
      <c r="EJ113" s="21"/>
      <c r="EK113" s="54"/>
      <c r="EL113" s="21"/>
      <c r="EM113" s="54"/>
      <c r="EN113" s="21"/>
      <c r="EO113" s="54"/>
      <c r="EP113" s="21"/>
      <c r="EQ113" s="54"/>
      <c r="ER113" s="21"/>
      <c r="ES113" s="54"/>
      <c r="ET113" s="21"/>
      <c r="EU113" s="54"/>
      <c r="EV113" s="21"/>
      <c r="EW113" s="54"/>
      <c r="EX113" s="21"/>
      <c r="EY113" s="54"/>
      <c r="EZ113" s="21"/>
      <c r="FA113" s="54"/>
      <c r="FB113" s="21"/>
      <c r="FC113" s="54"/>
      <c r="FD113" s="21"/>
      <c r="FE113" s="54"/>
      <c r="FF113" s="21"/>
      <c r="FG113" s="54"/>
      <c r="FH113" s="21"/>
      <c r="FI113" s="21"/>
      <c r="FJ113" s="21"/>
      <c r="FK113" s="21"/>
      <c r="FL113" s="21"/>
      <c r="FM113" s="21"/>
      <c r="FN113" s="21"/>
      <c r="FO113" s="21"/>
      <c r="FP113" s="21"/>
      <c r="FQ113" s="21"/>
      <c r="FR113" s="21"/>
      <c r="FS113" s="21"/>
      <c r="FT113" s="21"/>
      <c r="FU113" s="58"/>
      <c r="FV113" s="21"/>
      <c r="FW113" s="21"/>
      <c r="FX113" s="21"/>
      <c r="FY113" s="21"/>
      <c r="FZ113" s="21"/>
      <c r="GA113" s="21"/>
      <c r="GB113" s="21"/>
      <c r="GC113" s="21"/>
      <c r="GD113" s="21"/>
      <c r="GE113" s="21"/>
      <c r="GF113" s="21"/>
      <c r="GG113" s="21"/>
      <c r="GH113" s="21"/>
      <c r="GI113" s="21"/>
      <c r="GJ113" s="21"/>
      <c r="GK113" s="21"/>
      <c r="GL113" s="21"/>
      <c r="GM113" s="21"/>
      <c r="GN113" s="21"/>
      <c r="GO113" s="21"/>
      <c r="GP113" s="21"/>
      <c r="GQ113" s="21"/>
      <c r="GR113" s="21"/>
      <c r="GS113" s="21"/>
      <c r="GT113" s="21"/>
      <c r="GU113" s="21"/>
      <c r="GV113" s="21"/>
      <c r="GW113" s="21"/>
      <c r="GX113" s="21"/>
      <c r="GY113" s="21"/>
      <c r="GZ113" s="21"/>
      <c r="HA113" s="21"/>
      <c r="HB113" s="21"/>
      <c r="HC113" s="21"/>
      <c r="HD113" s="21"/>
    </row>
    <row r="114" spans="1:212" s="13" customFormat="1" ht="3" customHeight="1"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39"/>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39"/>
      <c r="DD114" s="21"/>
      <c r="DE114" s="21"/>
      <c r="DF114" s="21"/>
      <c r="DG114" s="21"/>
      <c r="DH114" s="21"/>
      <c r="DI114" s="21"/>
      <c r="DJ114" s="21"/>
      <c r="DK114" s="21"/>
      <c r="DL114" s="21"/>
      <c r="DM114" s="21"/>
      <c r="DN114" s="21"/>
      <c r="DO114" s="21"/>
      <c r="DP114" s="21"/>
      <c r="DQ114" s="21"/>
      <c r="DR114" s="21"/>
      <c r="DS114" s="21"/>
      <c r="DT114" s="21"/>
      <c r="DU114" s="21"/>
      <c r="DV114" s="21"/>
      <c r="DW114" s="58"/>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58"/>
      <c r="FV114" s="21"/>
      <c r="FW114" s="21"/>
      <c r="FX114" s="21"/>
      <c r="FY114" s="21"/>
      <c r="FZ114" s="21"/>
      <c r="GA114" s="21"/>
      <c r="GB114" s="21"/>
      <c r="GC114" s="21"/>
      <c r="GD114" s="21"/>
      <c r="GE114" s="21"/>
      <c r="GF114" s="21"/>
      <c r="GG114" s="21"/>
      <c r="GH114" s="21"/>
      <c r="GI114" s="21"/>
      <c r="GJ114" s="21"/>
      <c r="GK114" s="21"/>
      <c r="GL114" s="21"/>
      <c r="GM114" s="21"/>
      <c r="GN114" s="21"/>
      <c r="GO114" s="21"/>
      <c r="GP114" s="21"/>
      <c r="GQ114" s="21"/>
      <c r="GR114" s="21"/>
      <c r="GS114" s="21"/>
      <c r="GT114" s="21"/>
      <c r="GU114" s="21"/>
      <c r="GV114" s="21"/>
      <c r="GW114" s="21"/>
      <c r="GX114" s="21"/>
      <c r="GY114" s="21"/>
      <c r="GZ114" s="21"/>
      <c r="HA114" s="21"/>
      <c r="HB114" s="21"/>
      <c r="HC114" s="21"/>
      <c r="HD114" s="21"/>
    </row>
    <row r="115" spans="1:212" s="13" customFormat="1" ht="3" customHeight="1"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21"/>
      <c r="DE115" s="21"/>
      <c r="DF115" s="21"/>
      <c r="DG115" s="21"/>
      <c r="DH115" s="21"/>
      <c r="DI115" s="21"/>
      <c r="DJ115" s="21"/>
      <c r="DK115" s="21"/>
      <c r="DL115" s="21"/>
      <c r="DM115" s="21"/>
      <c r="DN115" s="21"/>
      <c r="DO115" s="21"/>
      <c r="DP115" s="21"/>
      <c r="DQ115" s="21"/>
      <c r="DR115" s="21"/>
      <c r="DS115" s="21"/>
      <c r="DT115" s="21"/>
      <c r="DU115" s="21"/>
      <c r="DV115" s="21"/>
      <c r="DW115" s="60"/>
      <c r="DX115" s="57"/>
      <c r="DY115" s="57"/>
      <c r="DZ115" s="57"/>
      <c r="EA115" s="57"/>
      <c r="EB115" s="57"/>
      <c r="EC115" s="57"/>
      <c r="ED115" s="57"/>
      <c r="EE115" s="57"/>
      <c r="EF115" s="57"/>
      <c r="EG115" s="57"/>
      <c r="EH115" s="57"/>
      <c r="EI115" s="57"/>
      <c r="EJ115" s="57"/>
      <c r="EK115" s="57"/>
      <c r="EL115" s="57"/>
      <c r="EM115" s="57"/>
      <c r="EN115" s="57"/>
      <c r="EO115" s="57"/>
      <c r="EP115" s="57"/>
      <c r="EQ115" s="57"/>
      <c r="ER115" s="57"/>
      <c r="ES115" s="57"/>
      <c r="ET115" s="57"/>
      <c r="EU115" s="57"/>
      <c r="EV115" s="57"/>
      <c r="EW115" s="57"/>
      <c r="EX115" s="57"/>
      <c r="EY115" s="57"/>
      <c r="EZ115" s="57"/>
      <c r="FA115" s="57"/>
      <c r="FB115" s="57"/>
      <c r="FC115" s="57"/>
      <c r="FD115" s="57"/>
      <c r="FE115" s="57"/>
      <c r="FF115" s="57"/>
      <c r="FG115" s="57"/>
      <c r="FH115" s="57"/>
      <c r="FI115" s="57"/>
      <c r="FJ115" s="57"/>
      <c r="FK115" s="57"/>
      <c r="FL115" s="57"/>
      <c r="FM115" s="57"/>
      <c r="FN115" s="57"/>
      <c r="FO115" s="57"/>
      <c r="FP115" s="57"/>
      <c r="FQ115" s="57"/>
      <c r="FR115" s="57"/>
      <c r="FS115" s="57"/>
      <c r="FT115" s="57"/>
      <c r="FU115" s="61"/>
      <c r="FV115" s="21"/>
      <c r="FW115" s="21"/>
      <c r="FX115" s="21"/>
      <c r="FY115" s="21"/>
      <c r="FZ115" s="21"/>
      <c r="GA115" s="21"/>
      <c r="GB115" s="21"/>
      <c r="GC115" s="21"/>
      <c r="GD115" s="21"/>
      <c r="GE115" s="21"/>
      <c r="GF115" s="21"/>
      <c r="GG115" s="21"/>
      <c r="GH115" s="21"/>
      <c r="GI115" s="21"/>
      <c r="GJ115" s="21"/>
      <c r="GK115" s="21"/>
      <c r="GL115" s="21"/>
      <c r="GM115" s="21"/>
      <c r="GN115" s="21"/>
      <c r="GO115" s="21"/>
      <c r="GP115" s="21"/>
      <c r="GQ115" s="21"/>
      <c r="GR115" s="21"/>
      <c r="GS115" s="21"/>
      <c r="GT115" s="21"/>
      <c r="GU115" s="21"/>
      <c r="GV115" s="21"/>
      <c r="GW115" s="21"/>
      <c r="GX115" s="21"/>
      <c r="GY115" s="21"/>
      <c r="GZ115" s="21"/>
      <c r="HA115" s="21"/>
      <c r="HB115" s="21"/>
      <c r="HC115" s="21"/>
      <c r="HD115" s="21"/>
    </row>
    <row r="116" spans="1:212" s="13" customFormat="1" ht="3" customHeight="1"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c r="GI116" s="21"/>
      <c r="GJ116" s="21"/>
      <c r="GK116" s="21"/>
      <c r="GL116" s="21"/>
      <c r="GM116" s="21"/>
      <c r="GN116" s="21"/>
      <c r="GO116" s="21"/>
      <c r="GP116" s="21"/>
      <c r="GQ116" s="21"/>
      <c r="GR116" s="21"/>
      <c r="GS116" s="21"/>
      <c r="GT116" s="21"/>
      <c r="GU116" s="21"/>
      <c r="GV116" s="21"/>
      <c r="GW116" s="21"/>
      <c r="GX116" s="21"/>
      <c r="GY116" s="21"/>
      <c r="GZ116" s="21"/>
      <c r="HA116" s="21"/>
      <c r="HB116" s="21"/>
      <c r="HC116" s="21"/>
      <c r="HD116" s="21"/>
    </row>
    <row r="117" spans="1:212" s="13" customFormat="1" ht="3" customHeight="1"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row>
    <row r="118" spans="1:212" s="13" customFormat="1" ht="5.45" customHeight="1"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39"/>
      <c r="BQ118" s="39"/>
      <c r="BR118" s="39"/>
      <c r="BS118" s="39"/>
      <c r="BT118" s="39"/>
      <c r="BU118" s="39"/>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39"/>
      <c r="DD118" s="21"/>
      <c r="DE118" s="21"/>
      <c r="DF118" s="21"/>
      <c r="DG118" s="21"/>
      <c r="DH118" s="21"/>
      <c r="DI118" s="21"/>
      <c r="DJ118" s="21"/>
      <c r="DK118" s="21"/>
      <c r="DL118" s="21"/>
      <c r="DM118" s="21"/>
      <c r="DN118" s="56"/>
      <c r="DO118" s="57"/>
      <c r="DP118" s="57"/>
      <c r="DQ118" s="57"/>
      <c r="DR118" s="57"/>
      <c r="DS118" s="59"/>
      <c r="DT118" s="21"/>
      <c r="DU118" s="45"/>
      <c r="DV118" s="21"/>
      <c r="DW118" s="45"/>
      <c r="DX118" s="21"/>
      <c r="DY118" s="45"/>
      <c r="DZ118" s="21"/>
      <c r="EA118" s="45"/>
      <c r="EB118" s="21"/>
      <c r="EC118" s="45"/>
      <c r="ED118" s="21"/>
      <c r="EE118" s="45"/>
      <c r="EF118" s="21"/>
      <c r="EG118" s="45"/>
      <c r="EH118" s="21"/>
      <c r="EI118" s="53"/>
      <c r="EJ118" s="21"/>
      <c r="EK118" s="53"/>
      <c r="EL118" s="21"/>
      <c r="EM118" s="53"/>
      <c r="EN118" s="21"/>
      <c r="EO118" s="53"/>
      <c r="EP118" s="21"/>
      <c r="EQ118" s="53"/>
      <c r="ER118" s="21"/>
      <c r="ES118" s="53"/>
      <c r="ET118" s="21"/>
      <c r="EU118" s="53"/>
      <c r="EV118" s="21"/>
      <c r="EW118" s="53"/>
      <c r="EX118" s="21"/>
      <c r="EY118" s="53"/>
      <c r="EZ118" s="21"/>
      <c r="FA118" s="53"/>
      <c r="FB118" s="21"/>
      <c r="FC118" s="53"/>
      <c r="FD118" s="21"/>
      <c r="FE118" s="53"/>
      <c r="FF118" s="21"/>
      <c r="FG118" s="53"/>
      <c r="FH118" s="21"/>
      <c r="FI118" s="45"/>
      <c r="FJ118" s="21"/>
      <c r="FK118" s="45"/>
      <c r="FL118" s="21"/>
      <c r="FM118" s="45"/>
      <c r="FN118" s="21"/>
      <c r="FO118" s="45"/>
      <c r="FP118" s="21"/>
      <c r="FQ118" s="45"/>
      <c r="FR118" s="21"/>
      <c r="FS118" s="45"/>
      <c r="FT118" s="21"/>
      <c r="FU118" s="55"/>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row>
    <row r="119" spans="1:212" s="13" customFormat="1" ht="5.45" customHeight="1"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39"/>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39"/>
      <c r="DD119" s="21"/>
      <c r="DE119" s="21"/>
      <c r="DF119" s="21"/>
      <c r="DG119" s="21"/>
      <c r="DH119" s="21"/>
      <c r="DI119" s="21"/>
      <c r="DJ119" s="21"/>
      <c r="DK119" s="21"/>
      <c r="DL119" s="21"/>
      <c r="DM119" s="21"/>
      <c r="DN119" s="21"/>
      <c r="DO119" s="21"/>
      <c r="DP119" s="21"/>
      <c r="DQ119" s="21"/>
      <c r="DR119" s="21"/>
      <c r="DS119" s="58"/>
      <c r="DT119" s="21"/>
      <c r="DU119" s="21"/>
      <c r="DV119" s="21"/>
      <c r="DW119" s="21"/>
      <c r="DX119" s="21"/>
      <c r="DY119" s="21"/>
      <c r="DZ119" s="21"/>
      <c r="EA119" s="21"/>
      <c r="EB119" s="21"/>
      <c r="EC119" s="21"/>
      <c r="ED119" s="21"/>
      <c r="EE119" s="21"/>
      <c r="EF119" s="21"/>
      <c r="EG119" s="21"/>
      <c r="EH119" s="21"/>
      <c r="EI119" s="54"/>
      <c r="EJ119" s="21"/>
      <c r="EK119" s="54"/>
      <c r="EL119" s="21"/>
      <c r="EM119" s="54"/>
      <c r="EN119" s="21"/>
      <c r="EO119" s="54"/>
      <c r="EP119" s="21"/>
      <c r="EQ119" s="54"/>
      <c r="ER119" s="21"/>
      <c r="ES119" s="54"/>
      <c r="ET119" s="21"/>
      <c r="EU119" s="54"/>
      <c r="EV119" s="21"/>
      <c r="EW119" s="54"/>
      <c r="EX119" s="21"/>
      <c r="EY119" s="54"/>
      <c r="EZ119" s="21"/>
      <c r="FA119" s="54"/>
      <c r="FB119" s="21"/>
      <c r="FC119" s="54"/>
      <c r="FD119" s="21"/>
      <c r="FE119" s="54"/>
      <c r="FF119" s="21"/>
      <c r="FG119" s="54"/>
      <c r="FH119" s="21"/>
      <c r="FI119" s="21"/>
      <c r="FJ119" s="21"/>
      <c r="FK119" s="21"/>
      <c r="FL119" s="21"/>
      <c r="FM119" s="21"/>
      <c r="FN119" s="21"/>
      <c r="FO119" s="21"/>
      <c r="FP119" s="21"/>
      <c r="FQ119" s="21"/>
      <c r="FR119" s="21"/>
      <c r="FS119" s="21"/>
      <c r="FT119" s="21"/>
      <c r="FU119" s="58"/>
      <c r="FV119" s="21"/>
      <c r="FW119" s="21"/>
      <c r="FX119" s="21"/>
      <c r="FY119" s="21"/>
      <c r="FZ119" s="21"/>
      <c r="GA119" s="21"/>
      <c r="GB119" s="21"/>
      <c r="GC119" s="21"/>
      <c r="GD119" s="21"/>
      <c r="GE119" s="21"/>
      <c r="GF119" s="21"/>
      <c r="GG119" s="21"/>
      <c r="GH119" s="21"/>
      <c r="GI119" s="21"/>
      <c r="GJ119" s="21"/>
      <c r="GK119" s="21"/>
      <c r="GL119" s="21"/>
      <c r="GM119" s="21"/>
      <c r="GN119" s="21"/>
      <c r="GO119" s="21"/>
      <c r="GP119" s="21"/>
      <c r="GQ119" s="21"/>
      <c r="GR119" s="21"/>
      <c r="GS119" s="21"/>
      <c r="GT119" s="21"/>
      <c r="GU119" s="21"/>
      <c r="GV119" s="21"/>
      <c r="GW119" s="21"/>
      <c r="GX119" s="21"/>
      <c r="GY119" s="21"/>
      <c r="GZ119" s="21"/>
      <c r="HA119" s="21"/>
      <c r="HB119" s="21"/>
      <c r="HC119" s="21"/>
      <c r="HD119" s="21"/>
    </row>
    <row r="120" spans="1:212" s="13" customFormat="1" ht="3" customHeight="1"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39"/>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39"/>
      <c r="DD120" s="21"/>
      <c r="DE120" s="21"/>
      <c r="DF120" s="21"/>
      <c r="DG120" s="21"/>
      <c r="DH120" s="21"/>
      <c r="DI120" s="21"/>
      <c r="DJ120" s="21"/>
      <c r="DK120" s="21"/>
      <c r="DL120" s="21"/>
      <c r="DM120" s="21"/>
      <c r="DN120" s="21"/>
      <c r="DO120" s="21"/>
      <c r="DP120" s="21"/>
      <c r="DQ120" s="21"/>
      <c r="DR120" s="21"/>
      <c r="DS120" s="58"/>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58"/>
      <c r="FV120" s="21"/>
      <c r="FW120" s="21"/>
      <c r="FX120" s="21"/>
      <c r="FY120" s="21"/>
      <c r="FZ120" s="21"/>
      <c r="GA120" s="21"/>
      <c r="GB120" s="21"/>
      <c r="GC120" s="21"/>
      <c r="GD120" s="21"/>
      <c r="GE120" s="21"/>
      <c r="GF120" s="21"/>
      <c r="GG120" s="21"/>
      <c r="GH120" s="21"/>
      <c r="GI120" s="21"/>
      <c r="GJ120" s="21"/>
      <c r="GK120" s="21"/>
      <c r="GL120" s="21"/>
      <c r="GM120" s="21"/>
      <c r="GN120" s="21"/>
      <c r="GO120" s="21"/>
      <c r="GP120" s="21"/>
      <c r="GQ120" s="21"/>
      <c r="GR120" s="21"/>
      <c r="GS120" s="21"/>
      <c r="GT120" s="21"/>
      <c r="GU120" s="21"/>
      <c r="GV120" s="21"/>
      <c r="GW120" s="21"/>
      <c r="GX120" s="21"/>
      <c r="GY120" s="21"/>
      <c r="GZ120" s="21"/>
      <c r="HA120" s="21"/>
      <c r="HB120" s="21"/>
      <c r="HC120" s="21"/>
      <c r="HD120" s="21"/>
    </row>
    <row r="121" spans="1:212" s="13" customFormat="1" ht="3" customHeight="1"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21"/>
      <c r="DE121" s="21"/>
      <c r="DF121" s="21"/>
      <c r="DG121" s="21"/>
      <c r="DH121" s="21"/>
      <c r="DI121" s="21"/>
      <c r="DJ121" s="21"/>
      <c r="DK121" s="21"/>
      <c r="DL121" s="21"/>
      <c r="DM121" s="21"/>
      <c r="DN121" s="21"/>
      <c r="DO121" s="21"/>
      <c r="DP121" s="21"/>
      <c r="DQ121" s="21"/>
      <c r="DR121" s="21"/>
      <c r="DS121" s="60"/>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61"/>
      <c r="FV121" s="21"/>
      <c r="FW121" s="21"/>
      <c r="FX121" s="21"/>
      <c r="FY121" s="21"/>
      <c r="FZ121" s="21"/>
      <c r="GA121" s="21"/>
      <c r="GB121" s="21"/>
      <c r="GC121" s="21"/>
      <c r="GD121" s="21"/>
      <c r="GE121" s="21"/>
      <c r="GF121" s="21"/>
      <c r="GG121" s="21"/>
      <c r="GH121" s="21"/>
      <c r="GI121" s="21"/>
      <c r="GJ121" s="21"/>
      <c r="GK121" s="21"/>
      <c r="GL121" s="21"/>
      <c r="GM121" s="21"/>
      <c r="GN121" s="21"/>
      <c r="GO121" s="21"/>
      <c r="GP121" s="21"/>
      <c r="GQ121" s="21"/>
      <c r="GR121" s="21"/>
      <c r="GS121" s="21"/>
      <c r="GT121" s="21"/>
      <c r="GU121" s="21"/>
      <c r="GV121" s="21"/>
      <c r="GW121" s="21"/>
      <c r="GX121" s="21"/>
      <c r="GY121" s="21"/>
      <c r="GZ121" s="21"/>
      <c r="HA121" s="21"/>
      <c r="HB121" s="21"/>
      <c r="HC121" s="21"/>
      <c r="HD121" s="21"/>
    </row>
    <row r="122" spans="1:212" s="13" customFormat="1" ht="3" customHeight="1"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c r="GI122" s="21"/>
      <c r="GJ122" s="21"/>
      <c r="GK122" s="21"/>
      <c r="GL122" s="21"/>
      <c r="GM122" s="21"/>
      <c r="GN122" s="21"/>
      <c r="GO122" s="21"/>
      <c r="GP122" s="21"/>
      <c r="GQ122" s="21"/>
      <c r="GR122" s="21"/>
      <c r="GS122" s="21"/>
      <c r="GT122" s="21"/>
      <c r="GU122" s="21"/>
      <c r="GV122" s="21"/>
      <c r="GW122" s="21"/>
      <c r="GX122" s="21"/>
      <c r="GY122" s="21"/>
      <c r="GZ122" s="21"/>
      <c r="HA122" s="21"/>
      <c r="HB122" s="21"/>
      <c r="HC122" s="21"/>
      <c r="HD122" s="21"/>
    </row>
    <row r="123" spans="1:212" s="13" customFormat="1" ht="3" customHeight="1"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c r="GI123" s="21"/>
      <c r="GJ123" s="21"/>
      <c r="GK123" s="21"/>
      <c r="GL123" s="21"/>
      <c r="GM123" s="21"/>
      <c r="GN123" s="21"/>
      <c r="GO123" s="21"/>
      <c r="GP123" s="21"/>
      <c r="GQ123" s="21"/>
      <c r="GR123" s="21"/>
      <c r="GS123" s="21"/>
      <c r="GT123" s="21"/>
      <c r="GU123" s="21"/>
      <c r="GV123" s="21"/>
      <c r="GW123" s="21"/>
      <c r="GX123" s="21"/>
      <c r="GY123" s="21"/>
      <c r="GZ123" s="21"/>
      <c r="HA123" s="21"/>
      <c r="HB123" s="21"/>
      <c r="HC123" s="21"/>
      <c r="HD123" s="21"/>
    </row>
    <row r="124" spans="1:212" s="13" customFormat="1" ht="5.45" customHeight="1"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56"/>
      <c r="DK124" s="57"/>
      <c r="DL124" s="57"/>
      <c r="DM124" s="57"/>
      <c r="DN124" s="57"/>
      <c r="DO124" s="59"/>
      <c r="DP124" s="21"/>
      <c r="DQ124" s="45"/>
      <c r="DR124" s="21"/>
      <c r="DS124" s="45"/>
      <c r="DT124" s="21"/>
      <c r="DU124" s="45"/>
      <c r="DV124" s="21"/>
      <c r="DW124" s="45"/>
      <c r="DX124" s="21"/>
      <c r="DY124" s="45"/>
      <c r="DZ124" s="21"/>
      <c r="EA124" s="45"/>
      <c r="EB124" s="21"/>
      <c r="EC124" s="45"/>
      <c r="ED124" s="21"/>
      <c r="EE124" s="53"/>
      <c r="EF124" s="21"/>
      <c r="EG124" s="53"/>
      <c r="EH124" s="21"/>
      <c r="EI124" s="53"/>
      <c r="EJ124" s="21"/>
      <c r="EK124" s="53"/>
      <c r="EL124" s="21"/>
      <c r="EM124" s="53"/>
      <c r="EN124" s="21"/>
      <c r="EO124" s="53"/>
      <c r="EP124" s="21"/>
      <c r="EQ124" s="53"/>
      <c r="ER124" s="21"/>
      <c r="ES124" s="53"/>
      <c r="ET124" s="21"/>
      <c r="EU124" s="53"/>
      <c r="EV124" s="21"/>
      <c r="EW124" s="53"/>
      <c r="EX124" s="21"/>
      <c r="EY124" s="53"/>
      <c r="EZ124" s="21"/>
      <c r="FA124" s="53"/>
      <c r="FB124" s="21"/>
      <c r="FC124" s="53"/>
      <c r="FD124" s="21"/>
      <c r="FE124" s="53"/>
      <c r="FF124" s="21"/>
      <c r="FG124" s="45"/>
      <c r="FH124" s="21"/>
      <c r="FI124" s="45"/>
      <c r="FJ124" s="21"/>
      <c r="FK124" s="45"/>
      <c r="FL124" s="21"/>
      <c r="FM124" s="45"/>
      <c r="FN124" s="21"/>
      <c r="FO124" s="45"/>
      <c r="FP124" s="21"/>
      <c r="FQ124" s="45"/>
      <c r="FR124" s="21"/>
      <c r="FS124" s="45"/>
      <c r="FT124" s="21"/>
      <c r="FU124" s="55"/>
      <c r="FV124" s="21"/>
      <c r="FW124" s="21"/>
      <c r="FX124" s="21"/>
      <c r="FY124" s="21"/>
      <c r="FZ124" s="21"/>
      <c r="GA124" s="45"/>
      <c r="GB124" s="21"/>
      <c r="GC124" s="21"/>
      <c r="GD124" s="21"/>
      <c r="GE124" s="21"/>
      <c r="GF124" s="21"/>
      <c r="GG124" s="21"/>
      <c r="GH124" s="21"/>
      <c r="GI124" s="21"/>
      <c r="GJ124" s="21"/>
      <c r="GK124" s="21"/>
      <c r="GL124" s="21"/>
      <c r="GM124" s="21"/>
      <c r="GN124" s="21"/>
      <c r="GO124" s="21"/>
      <c r="GP124" s="21"/>
      <c r="GQ124" s="21"/>
      <c r="GR124" s="21"/>
      <c r="GS124" s="21"/>
      <c r="GT124" s="21"/>
      <c r="GU124" s="21"/>
      <c r="GV124" s="21"/>
      <c r="GW124" s="21"/>
      <c r="GX124" s="21"/>
      <c r="GY124" s="21"/>
      <c r="GZ124" s="21"/>
      <c r="HA124" s="21"/>
      <c r="HB124" s="21"/>
      <c r="HC124" s="21"/>
      <c r="HD124" s="21"/>
    </row>
    <row r="125" spans="1:212" s="13" customFormat="1" ht="5.45" customHeight="1"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58"/>
      <c r="DP125" s="21"/>
      <c r="DQ125" s="21"/>
      <c r="DR125" s="21"/>
      <c r="DS125" s="21"/>
      <c r="DT125" s="21"/>
      <c r="DU125" s="21"/>
      <c r="DV125" s="21"/>
      <c r="DW125" s="21"/>
      <c r="DX125" s="21"/>
      <c r="DY125" s="21"/>
      <c r="DZ125" s="21"/>
      <c r="EA125" s="21"/>
      <c r="EB125" s="21"/>
      <c r="EC125" s="21"/>
      <c r="ED125" s="21"/>
      <c r="EE125" s="54"/>
      <c r="EF125" s="21"/>
      <c r="EG125" s="54"/>
      <c r="EH125" s="21"/>
      <c r="EI125" s="54"/>
      <c r="EJ125" s="21"/>
      <c r="EK125" s="54"/>
      <c r="EL125" s="21"/>
      <c r="EM125" s="54"/>
      <c r="EN125" s="21"/>
      <c r="EO125" s="54"/>
      <c r="EP125" s="21"/>
      <c r="EQ125" s="54"/>
      <c r="ER125" s="21"/>
      <c r="ES125" s="54"/>
      <c r="ET125" s="21"/>
      <c r="EU125" s="54"/>
      <c r="EV125" s="21"/>
      <c r="EW125" s="54"/>
      <c r="EX125" s="21"/>
      <c r="EY125" s="54"/>
      <c r="EZ125" s="21"/>
      <c r="FA125" s="54"/>
      <c r="FB125" s="21"/>
      <c r="FC125" s="54"/>
      <c r="FD125" s="21"/>
      <c r="FE125" s="54"/>
      <c r="FF125" s="21"/>
      <c r="FG125" s="21"/>
      <c r="FH125" s="21"/>
      <c r="FI125" s="21"/>
      <c r="FJ125" s="21"/>
      <c r="FK125" s="21"/>
      <c r="FL125" s="21"/>
      <c r="FM125" s="21"/>
      <c r="FN125" s="21"/>
      <c r="FO125" s="21"/>
      <c r="FP125" s="21"/>
      <c r="FQ125" s="21"/>
      <c r="FR125" s="21"/>
      <c r="FS125" s="21"/>
      <c r="FT125" s="21"/>
      <c r="FU125" s="58"/>
      <c r="FV125" s="21"/>
      <c r="FW125" s="21"/>
      <c r="FX125" s="21"/>
      <c r="FY125" s="21"/>
      <c r="FZ125" s="21"/>
      <c r="GA125" s="21"/>
      <c r="GB125" s="21"/>
      <c r="GC125" s="21"/>
      <c r="GD125" s="21"/>
      <c r="GE125" s="21"/>
      <c r="GF125" s="21"/>
      <c r="GG125" s="21"/>
      <c r="GH125" s="21"/>
      <c r="GI125" s="21"/>
      <c r="GJ125" s="21"/>
      <c r="GK125" s="21"/>
      <c r="GL125" s="21"/>
      <c r="GM125" s="21"/>
      <c r="GN125" s="21"/>
      <c r="GO125" s="21"/>
      <c r="GP125" s="21"/>
      <c r="GQ125" s="21"/>
      <c r="GR125" s="21"/>
      <c r="GS125" s="21"/>
      <c r="GT125" s="21"/>
      <c r="GU125" s="21"/>
      <c r="GV125" s="21"/>
      <c r="GW125" s="21"/>
      <c r="GX125" s="21"/>
      <c r="GY125" s="21"/>
      <c r="GZ125" s="21"/>
      <c r="HA125" s="21"/>
      <c r="HB125" s="21"/>
      <c r="HC125" s="21"/>
      <c r="HD125" s="21"/>
    </row>
    <row r="126" spans="1:212" s="13" customFormat="1" ht="3"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58"/>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58"/>
      <c r="FV126" s="21"/>
      <c r="FW126" s="21"/>
      <c r="FX126" s="21"/>
      <c r="FY126" s="21"/>
      <c r="FZ126" s="21"/>
      <c r="GA126" s="21"/>
      <c r="GB126" s="21"/>
      <c r="GC126" s="21"/>
      <c r="GD126" s="21"/>
      <c r="GE126" s="21"/>
      <c r="GF126" s="21"/>
      <c r="GG126" s="21"/>
      <c r="GH126" s="21"/>
      <c r="GI126" s="21"/>
      <c r="GJ126" s="21"/>
      <c r="GK126" s="21"/>
      <c r="GL126" s="21"/>
      <c r="GM126" s="21"/>
      <c r="GN126" s="21"/>
      <c r="GO126" s="21"/>
      <c r="GP126" s="21"/>
      <c r="GQ126" s="21"/>
      <c r="GR126" s="21"/>
      <c r="GS126" s="21"/>
      <c r="GT126" s="21"/>
      <c r="GU126" s="21"/>
      <c r="GV126" s="21"/>
      <c r="GW126" s="21"/>
      <c r="GX126" s="21"/>
      <c r="GY126" s="21"/>
      <c r="GZ126" s="21"/>
      <c r="HA126" s="21"/>
      <c r="HB126" s="21"/>
      <c r="HC126" s="21"/>
      <c r="HD126" s="21"/>
    </row>
    <row r="127" spans="1:212" s="13" customFormat="1" ht="3" customHeight="1"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60"/>
      <c r="DP127" s="57"/>
      <c r="DQ127" s="57"/>
      <c r="DR127" s="57"/>
      <c r="DS127" s="57"/>
      <c r="DT127" s="57"/>
      <c r="DU127" s="57"/>
      <c r="DV127" s="57"/>
      <c r="DW127" s="57"/>
      <c r="DX127" s="57"/>
      <c r="DY127" s="57"/>
      <c r="DZ127" s="57"/>
      <c r="EA127" s="57"/>
      <c r="EB127" s="57"/>
      <c r="EC127" s="57"/>
      <c r="ED127" s="57"/>
      <c r="EE127" s="57"/>
      <c r="EF127" s="57"/>
      <c r="EG127" s="57"/>
      <c r="EH127" s="57"/>
      <c r="EI127" s="57"/>
      <c r="EJ127" s="57"/>
      <c r="EK127" s="57"/>
      <c r="EL127" s="57"/>
      <c r="EM127" s="57"/>
      <c r="EN127" s="57"/>
      <c r="EO127" s="57"/>
      <c r="EP127" s="57"/>
      <c r="EQ127" s="57"/>
      <c r="ER127" s="57"/>
      <c r="ES127" s="57"/>
      <c r="ET127" s="57"/>
      <c r="EU127" s="57"/>
      <c r="EV127" s="57"/>
      <c r="EW127" s="57"/>
      <c r="EX127" s="57"/>
      <c r="EY127" s="57"/>
      <c r="EZ127" s="57"/>
      <c r="FA127" s="57"/>
      <c r="FB127" s="57"/>
      <c r="FC127" s="57"/>
      <c r="FD127" s="57"/>
      <c r="FE127" s="57"/>
      <c r="FF127" s="57"/>
      <c r="FG127" s="57"/>
      <c r="FH127" s="57"/>
      <c r="FI127" s="57"/>
      <c r="FJ127" s="57"/>
      <c r="FK127" s="57"/>
      <c r="FL127" s="57"/>
      <c r="FM127" s="57"/>
      <c r="FN127" s="57"/>
      <c r="FO127" s="57"/>
      <c r="FP127" s="57"/>
      <c r="FQ127" s="57"/>
      <c r="FR127" s="57"/>
      <c r="FS127" s="57"/>
      <c r="FT127" s="57"/>
      <c r="FU127" s="61"/>
      <c r="FV127" s="21"/>
      <c r="FW127" s="21"/>
      <c r="FX127" s="21"/>
      <c r="FY127" s="21"/>
      <c r="FZ127" s="21"/>
      <c r="GA127" s="21"/>
      <c r="GB127" s="21"/>
      <c r="GC127" s="21"/>
      <c r="GD127" s="21"/>
      <c r="GE127" s="21"/>
      <c r="GF127" s="21"/>
      <c r="GG127" s="21"/>
      <c r="GH127" s="21"/>
      <c r="GI127" s="21"/>
      <c r="GJ127" s="21"/>
      <c r="GK127" s="21"/>
      <c r="GL127" s="21"/>
      <c r="GM127" s="21"/>
      <c r="GN127" s="21"/>
      <c r="GO127" s="21"/>
      <c r="GP127" s="21"/>
      <c r="GQ127" s="21"/>
      <c r="GR127" s="21"/>
      <c r="GS127" s="21"/>
      <c r="GT127" s="21"/>
      <c r="GU127" s="21"/>
      <c r="GV127" s="21"/>
      <c r="GW127" s="21"/>
      <c r="GX127" s="21"/>
      <c r="GY127" s="21"/>
      <c r="GZ127" s="21"/>
      <c r="HA127" s="21"/>
      <c r="HB127" s="21"/>
      <c r="HC127" s="21"/>
      <c r="HD127" s="21"/>
    </row>
    <row r="128" spans="1:212" s="13" customFormat="1" ht="3" customHeight="1"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c r="GI128" s="21"/>
      <c r="GJ128" s="21"/>
      <c r="GK128" s="21"/>
      <c r="GL128" s="21"/>
      <c r="GM128" s="21"/>
      <c r="GN128" s="21"/>
      <c r="GO128" s="21"/>
      <c r="GP128" s="21"/>
      <c r="GQ128" s="21"/>
      <c r="GR128" s="21"/>
      <c r="GS128" s="21"/>
      <c r="GT128" s="21"/>
      <c r="GU128" s="21"/>
      <c r="GV128" s="21"/>
      <c r="GW128" s="21"/>
      <c r="GX128" s="21"/>
      <c r="GY128" s="21"/>
      <c r="GZ128" s="21"/>
      <c r="HA128" s="21"/>
      <c r="HB128" s="21"/>
      <c r="HC128" s="21"/>
      <c r="HD128" s="21"/>
    </row>
    <row r="129" spans="1:212" s="13" customFormat="1" ht="3" customHeight="1"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c r="GI129" s="21"/>
      <c r="GJ129" s="21"/>
      <c r="GK129" s="21"/>
      <c r="GL129" s="21"/>
      <c r="GM129" s="21"/>
      <c r="GN129" s="21"/>
      <c r="GO129" s="21"/>
      <c r="GP129" s="21"/>
      <c r="GQ129" s="21"/>
      <c r="GR129" s="21"/>
      <c r="GS129" s="21"/>
      <c r="GT129" s="21"/>
      <c r="GU129" s="21"/>
      <c r="GV129" s="21"/>
      <c r="GW129" s="21"/>
      <c r="GX129" s="21"/>
      <c r="GY129" s="21"/>
      <c r="GZ129" s="21"/>
      <c r="HA129" s="21"/>
      <c r="HB129" s="21"/>
      <c r="HC129" s="21"/>
      <c r="HD129" s="21"/>
    </row>
    <row r="130" spans="1:212" s="13" customFormat="1" ht="5.45" customHeight="1"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39"/>
      <c r="DK130" s="39"/>
      <c r="DL130" s="39"/>
      <c r="DM130" s="39"/>
      <c r="DN130" s="39"/>
      <c r="DO130" s="39"/>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39"/>
      <c r="FV130" s="21"/>
      <c r="FW130" s="21"/>
      <c r="FX130" s="21"/>
      <c r="FY130" s="21"/>
      <c r="FZ130" s="21"/>
      <c r="GA130" s="21"/>
      <c r="GB130" s="21"/>
      <c r="GC130" s="21"/>
      <c r="GD130" s="21"/>
      <c r="GE130" s="21"/>
      <c r="GF130" s="21"/>
      <c r="GG130" s="21"/>
      <c r="GH130" s="21"/>
      <c r="GI130" s="21"/>
      <c r="GJ130" s="21"/>
      <c r="GK130" s="21"/>
      <c r="GL130" s="21"/>
      <c r="GM130" s="21"/>
      <c r="GN130" s="21"/>
      <c r="GO130" s="21"/>
      <c r="GP130" s="21"/>
      <c r="GQ130" s="21"/>
      <c r="GR130" s="21"/>
      <c r="GS130" s="21"/>
      <c r="GT130" s="21"/>
      <c r="GU130" s="21"/>
      <c r="GV130" s="21"/>
      <c r="GW130" s="21"/>
      <c r="GX130" s="21"/>
      <c r="GY130" s="21"/>
      <c r="GZ130" s="21"/>
      <c r="HA130" s="21"/>
      <c r="HB130" s="21"/>
      <c r="HC130" s="21"/>
      <c r="HD130" s="21"/>
    </row>
    <row r="131" spans="1:212" s="13" customFormat="1" ht="5.45" customHeight="1"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39"/>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39"/>
      <c r="FV131" s="21"/>
      <c r="FW131" s="21"/>
      <c r="FX131" s="21"/>
      <c r="FY131" s="21"/>
      <c r="FZ131" s="21"/>
      <c r="GA131" s="21"/>
      <c r="GB131" s="21"/>
      <c r="GC131" s="21"/>
      <c r="GD131" s="21"/>
      <c r="GE131" s="21"/>
      <c r="GF131" s="21"/>
      <c r="GG131" s="21"/>
      <c r="GH131" s="21"/>
      <c r="GI131" s="21"/>
      <c r="GJ131" s="21"/>
      <c r="GK131" s="21"/>
      <c r="GL131" s="21"/>
      <c r="GM131" s="21"/>
      <c r="GN131" s="21"/>
      <c r="GO131" s="21"/>
      <c r="GP131" s="21"/>
      <c r="GQ131" s="21"/>
      <c r="GR131" s="21"/>
      <c r="GS131" s="21"/>
      <c r="GT131" s="21"/>
      <c r="GU131" s="21"/>
      <c r="GV131" s="21"/>
      <c r="GW131" s="21"/>
      <c r="GX131" s="21"/>
      <c r="GY131" s="21"/>
      <c r="GZ131" s="21"/>
      <c r="HA131" s="21"/>
      <c r="HB131" s="21"/>
      <c r="HC131" s="21"/>
      <c r="HD131" s="21"/>
    </row>
    <row r="132" spans="1:212" s="13" customFormat="1" ht="3" customHeight="1"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39"/>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39"/>
      <c r="FV132" s="21"/>
      <c r="FW132" s="21"/>
      <c r="FX132" s="21"/>
      <c r="FY132" s="21"/>
      <c r="FZ132" s="21"/>
      <c r="GA132" s="21"/>
      <c r="GB132" s="21"/>
      <c r="GC132" s="21"/>
      <c r="GD132" s="21"/>
      <c r="GE132" s="21"/>
      <c r="GF132" s="21"/>
      <c r="GG132" s="21"/>
      <c r="GH132" s="21"/>
      <c r="GI132" s="21"/>
      <c r="GJ132" s="21"/>
      <c r="GK132" s="21"/>
      <c r="GL132" s="21"/>
      <c r="GM132" s="21"/>
      <c r="GN132" s="21"/>
      <c r="GO132" s="21"/>
      <c r="GP132" s="21"/>
      <c r="GQ132" s="21"/>
      <c r="GR132" s="21"/>
      <c r="GS132" s="21"/>
      <c r="GT132" s="21"/>
      <c r="GU132" s="21"/>
      <c r="GV132" s="21"/>
      <c r="GW132" s="21"/>
      <c r="GX132" s="21"/>
      <c r="GY132" s="21"/>
      <c r="GZ132" s="21"/>
      <c r="HA132" s="21"/>
      <c r="HB132" s="21"/>
      <c r="HC132" s="21"/>
      <c r="HD132" s="21"/>
    </row>
    <row r="133" spans="1:212" s="13" customFormat="1" ht="3" customHeight="1"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c r="EO133" s="39"/>
      <c r="EP133" s="39"/>
      <c r="EQ133" s="39"/>
      <c r="ER133" s="39"/>
      <c r="ES133" s="39"/>
      <c r="ET133" s="39"/>
      <c r="EU133" s="39"/>
      <c r="EV133" s="39"/>
      <c r="EW133" s="39"/>
      <c r="EX133" s="39"/>
      <c r="EY133" s="39"/>
      <c r="EZ133" s="39"/>
      <c r="FA133" s="39"/>
      <c r="FB133" s="39"/>
      <c r="FC133" s="39"/>
      <c r="FD133" s="39"/>
      <c r="FE133" s="39"/>
      <c r="FF133" s="39"/>
      <c r="FG133" s="39"/>
      <c r="FH133" s="39"/>
      <c r="FI133" s="39"/>
      <c r="FJ133" s="39"/>
      <c r="FK133" s="39"/>
      <c r="FL133" s="39"/>
      <c r="FM133" s="39"/>
      <c r="FN133" s="39"/>
      <c r="FO133" s="39"/>
      <c r="FP133" s="39"/>
      <c r="FQ133" s="39"/>
      <c r="FR133" s="39"/>
      <c r="FS133" s="39"/>
      <c r="FT133" s="39"/>
      <c r="FU133" s="39"/>
      <c r="FV133" s="21"/>
      <c r="FW133" s="21"/>
      <c r="FX133" s="21"/>
      <c r="FY133" s="21"/>
      <c r="FZ133" s="21"/>
      <c r="GA133" s="21"/>
      <c r="GB133" s="21"/>
      <c r="GC133" s="21"/>
      <c r="GD133" s="21"/>
      <c r="GE133" s="21"/>
      <c r="GF133" s="21"/>
      <c r="GG133" s="21"/>
      <c r="GH133" s="21"/>
      <c r="GI133" s="21"/>
      <c r="GJ133" s="21"/>
      <c r="GK133" s="21"/>
      <c r="GL133" s="21"/>
      <c r="GM133" s="21"/>
      <c r="GN133" s="21"/>
      <c r="GO133" s="21"/>
      <c r="GP133" s="21"/>
      <c r="GQ133" s="21"/>
      <c r="GR133" s="21"/>
      <c r="GS133" s="21"/>
      <c r="GT133" s="21"/>
      <c r="GU133" s="21"/>
      <c r="GV133" s="21"/>
      <c r="GW133" s="21"/>
      <c r="GX133" s="21"/>
      <c r="GY133" s="21"/>
      <c r="GZ133" s="21"/>
      <c r="HA133" s="21"/>
      <c r="HB133" s="21"/>
      <c r="HC133" s="21"/>
      <c r="HD133" s="21"/>
    </row>
    <row r="134" spans="1:212" s="13" customFormat="1" ht="3" customHeight="1"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c r="GI134" s="21"/>
      <c r="GJ134" s="21"/>
      <c r="GK134" s="21"/>
      <c r="GL134" s="21"/>
      <c r="GM134" s="21"/>
      <c r="GN134" s="21"/>
      <c r="GO134" s="21"/>
      <c r="GP134" s="21"/>
      <c r="GQ134" s="21"/>
      <c r="GR134" s="21"/>
      <c r="GS134" s="21"/>
      <c r="GT134" s="21"/>
      <c r="GU134" s="21"/>
      <c r="GV134" s="21"/>
      <c r="GW134" s="21"/>
      <c r="GX134" s="21"/>
      <c r="GY134" s="21"/>
      <c r="GZ134" s="21"/>
      <c r="HA134" s="21"/>
      <c r="HB134" s="21"/>
      <c r="HC134" s="21"/>
      <c r="HD134" s="21"/>
    </row>
    <row r="135" spans="1:212" s="13" customFormat="1" ht="3" customHeight="1"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c r="GI135" s="21"/>
      <c r="GJ135" s="21"/>
      <c r="GK135" s="21"/>
      <c r="GL135" s="21"/>
      <c r="GM135" s="21"/>
      <c r="GN135" s="21"/>
      <c r="GO135" s="21"/>
      <c r="GP135" s="21"/>
      <c r="GQ135" s="21"/>
      <c r="GR135" s="21"/>
      <c r="GS135" s="21"/>
      <c r="GT135" s="21"/>
      <c r="GU135" s="21"/>
      <c r="GV135" s="21"/>
      <c r="GW135" s="21"/>
      <c r="GX135" s="21"/>
      <c r="GY135" s="21"/>
      <c r="GZ135" s="21"/>
      <c r="HA135" s="21"/>
      <c r="HB135" s="21"/>
      <c r="HC135" s="21"/>
      <c r="HD135" s="21"/>
    </row>
    <row r="136" spans="1:212" s="13" customFormat="1" ht="5.45" customHeight="1"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c r="GI136" s="21"/>
      <c r="GJ136" s="21"/>
      <c r="GK136" s="21"/>
      <c r="GL136" s="21"/>
      <c r="GM136" s="21"/>
      <c r="GN136" s="21"/>
      <c r="GO136" s="21"/>
      <c r="GP136" s="21"/>
      <c r="GQ136" s="21"/>
      <c r="GR136" s="21"/>
      <c r="GS136" s="21"/>
      <c r="GT136" s="21"/>
      <c r="GU136" s="21"/>
      <c r="GV136" s="21"/>
      <c r="GW136" s="21"/>
      <c r="GX136" s="21"/>
      <c r="GY136" s="21"/>
      <c r="GZ136" s="21"/>
      <c r="HA136" s="21"/>
      <c r="HB136" s="21"/>
      <c r="HC136" s="21"/>
      <c r="HD136" s="21"/>
    </row>
    <row r="137" spans="1:212" s="13" customFormat="1" ht="5.45" customHeight="1"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c r="GI137" s="21"/>
      <c r="GJ137" s="21"/>
      <c r="GK137" s="21"/>
      <c r="GL137" s="21"/>
      <c r="GM137" s="21"/>
      <c r="GN137" s="21"/>
      <c r="GO137" s="21"/>
      <c r="GP137" s="21"/>
      <c r="GQ137" s="21"/>
      <c r="GR137" s="21"/>
      <c r="GS137" s="21"/>
      <c r="GT137" s="21"/>
      <c r="GU137" s="21"/>
      <c r="GV137" s="21"/>
      <c r="GW137" s="21"/>
      <c r="GX137" s="21"/>
      <c r="GY137" s="21"/>
      <c r="GZ137" s="21"/>
      <c r="HA137" s="21"/>
      <c r="HB137" s="21"/>
      <c r="HC137" s="21"/>
      <c r="HD137" s="21"/>
    </row>
    <row r="138" spans="1:212" s="13" customFormat="1" ht="3" customHeight="1"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c r="GI138" s="21"/>
      <c r="GJ138" s="21"/>
      <c r="GK138" s="21"/>
      <c r="GL138" s="21"/>
      <c r="GM138" s="21"/>
      <c r="GN138" s="21"/>
      <c r="GO138" s="21"/>
      <c r="GP138" s="21"/>
      <c r="GQ138" s="21"/>
      <c r="GR138" s="21"/>
      <c r="GS138" s="21"/>
      <c r="GT138" s="21"/>
      <c r="GU138" s="21"/>
      <c r="GV138" s="21"/>
      <c r="GW138" s="21"/>
      <c r="GX138" s="21"/>
    </row>
    <row r="139" spans="1:212" s="13" customFormat="1" ht="3" customHeight="1"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row>
    <row r="140" spans="1:212" s="13" customFormat="1" ht="3" customHeight="1"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c r="GI140" s="21"/>
      <c r="GJ140" s="21"/>
      <c r="GK140" s="21"/>
      <c r="GL140" s="21"/>
      <c r="GM140" s="21"/>
      <c r="GN140" s="21"/>
      <c r="GO140" s="21"/>
      <c r="GP140" s="21"/>
      <c r="GQ140" s="21"/>
      <c r="GR140" s="21"/>
      <c r="GS140" s="21"/>
      <c r="GT140" s="21"/>
      <c r="GU140" s="21"/>
      <c r="GV140" s="21"/>
      <c r="GW140" s="21"/>
      <c r="GX140" s="21"/>
    </row>
    <row r="141" spans="1:212" s="13" customFormat="1" ht="3" customHeight="1"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c r="GI141" s="21"/>
      <c r="GJ141" s="21"/>
      <c r="GK141" s="21"/>
      <c r="GL141" s="21"/>
      <c r="GM141" s="21"/>
      <c r="GN141" s="21"/>
      <c r="GO141" s="21"/>
      <c r="GP141" s="21"/>
      <c r="GQ141" s="21"/>
      <c r="GR141" s="21"/>
      <c r="GS141" s="21"/>
      <c r="GT141" s="21"/>
      <c r="GU141" s="21"/>
      <c r="GV141" s="21"/>
      <c r="GW141" s="21"/>
      <c r="GX141" s="21"/>
    </row>
    <row r="142" spans="1:212" s="13" customFormat="1" ht="5.45" customHeight="1"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c r="GI142" s="21"/>
      <c r="GJ142" s="21"/>
      <c r="GK142" s="21"/>
      <c r="GL142" s="21"/>
      <c r="GM142" s="21"/>
      <c r="GN142" s="21"/>
      <c r="GO142" s="21"/>
      <c r="GP142" s="21"/>
      <c r="GQ142" s="21"/>
      <c r="GR142" s="21"/>
      <c r="GS142" s="21"/>
      <c r="GT142" s="21"/>
      <c r="GU142" s="21"/>
      <c r="GV142" s="21"/>
      <c r="GW142" s="21"/>
      <c r="GX142" s="21"/>
    </row>
    <row r="143" spans="1:212" s="13" customFormat="1" ht="5.45" customHeight="1"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c r="GI143" s="21"/>
      <c r="GJ143" s="21"/>
      <c r="GK143" s="21"/>
      <c r="GL143" s="21"/>
      <c r="GM143" s="21"/>
      <c r="GN143" s="21"/>
      <c r="GO143" s="21"/>
      <c r="GP143" s="21"/>
      <c r="GQ143" s="21"/>
      <c r="GR143" s="21"/>
      <c r="GS143" s="21"/>
      <c r="GT143" s="21"/>
      <c r="GU143" s="21"/>
      <c r="GV143" s="21"/>
      <c r="GW143" s="21"/>
      <c r="GX143" s="21"/>
    </row>
    <row r="144" spans="1:212" s="13" customFormat="1" ht="3" customHeight="1"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row>
    <row r="145" spans="1:171" s="13" customFormat="1" ht="3" customHeight="1"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row>
    <row r="146" spans="1:171" s="13" customFormat="1" ht="3" customHeight="1"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row>
    <row r="147" spans="1:171" s="13" customFormat="1" ht="3" customHeight="1"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row>
    <row r="148" spans="1:171" s="13" customFormat="1" ht="5.45" customHeight="1"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row>
    <row r="149" spans="1:171" s="13" customFormat="1" ht="5.45" customHeight="1"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row>
    <row r="150" spans="1:171" s="13" customFormat="1" ht="3" customHeight="1"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row>
    <row r="151" spans="1:171" s="13" customFormat="1" ht="3" customHeight="1"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row>
    <row r="152" spans="1:171" s="13" customFormat="1" ht="3" customHeight="1"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row>
    <row r="153" spans="1:171" s="13" customFormat="1" ht="3" customHeight="1"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row>
    <row r="154" spans="1:171" s="13" customFormat="1" ht="15" customHeight="1"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row>
    <row r="155" spans="1:171" s="13" customFormat="1" ht="15" customHeight="1"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row>
    <row r="156" spans="1:171" s="13" customFormat="1" ht="15" customHeight="1"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row>
    <row r="157" spans="1:171" s="13" customFormat="1" ht="15" customHeight="1"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row>
    <row r="158" spans="1:171" s="13" customFormat="1" ht="15" customHeight="1"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row>
    <row r="159" spans="1:171" s="13" customFormat="1" ht="15" customHeight="1"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row>
    <row r="160" spans="1:171" s="13" customFormat="1" ht="15" customHeight="1"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row>
    <row r="161" spans="1:171" s="13" customFormat="1" ht="15" customHeight="1"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row>
    <row r="162" spans="1:171" s="13" customFormat="1" ht="15" customHeight="1"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row>
    <row r="163" spans="1:171" s="13" customFormat="1" ht="15" customHeight="1"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row>
    <row r="164" spans="1:171" s="13" customFormat="1" ht="15" customHeight="1"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row>
    <row r="165" spans="1:171" s="13" customFormat="1" ht="15" customHeight="1"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row>
    <row r="166" spans="1:171" s="13" customFormat="1" ht="15" customHeight="1"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row>
    <row r="167" spans="1:171" s="13" customFormat="1" ht="15" customHeight="1"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row>
    <row r="168" spans="1:171" s="13" customFormat="1" ht="15" customHeight="1"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row>
    <row r="169" spans="1:171" s="13" customFormat="1" ht="15" customHeight="1"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row>
    <row r="170" spans="1:171" s="13" customFormat="1" ht="15" customHeight="1"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row>
    <row r="171" spans="1:171" s="13" customFormat="1" ht="15" customHeight="1"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row>
    <row r="172" spans="1:171" s="13" customFormat="1" ht="15" customHeight="1"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row>
    <row r="173" spans="1:171" s="13" customFormat="1" ht="15" customHeight="1"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row>
    <row r="174" spans="1:171" s="13" customFormat="1" ht="15" customHeight="1"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row>
    <row r="175" spans="1:171" s="13" customFormat="1" ht="15" customHeight="1"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row>
    <row r="176" spans="1:171" s="13" customFormat="1" ht="15" customHeight="1"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row>
    <row r="177" spans="1:171" s="13" customFormat="1" ht="15" customHeight="1"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row>
    <row r="178" spans="1:171" s="13" customFormat="1" ht="15" customHeight="1"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row>
    <row r="179" spans="1:171" s="13" customFormat="1" ht="15" customHeight="1"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row>
    <row r="180" spans="1:171" s="13" customFormat="1" ht="15" customHeight="1"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row>
    <row r="181" spans="1:171" s="13" customFormat="1" ht="15" customHeight="1"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row>
    <row r="182" spans="1:171" s="13" customFormat="1" ht="15" customHeight="1"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row>
    <row r="183" spans="1:171" s="13" customFormat="1" ht="15" customHeight="1"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row>
    <row r="184" spans="1:171" s="13" customFormat="1" ht="15" customHeight="1"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row>
    <row r="185" spans="1:171" s="13" customFormat="1" ht="15" customHeight="1"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row>
    <row r="186" spans="1:171" s="13" customFormat="1" ht="15" customHeight="1"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row>
    <row r="187" spans="1:171" s="13" customFormat="1" ht="15" customHeight="1"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row>
    <row r="188" spans="1:171" s="13" customFormat="1" ht="15" customHeight="1"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row>
    <row r="189" spans="1:171" s="13" customFormat="1" ht="15" customHeight="1"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row>
    <row r="190" spans="1:171" s="13" customFormat="1" ht="15" customHeight="1"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row>
    <row r="191" spans="1:171" s="13" customFormat="1" ht="15" customHeight="1"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row>
    <row r="192" spans="1:171" s="13" customFormat="1" ht="15" customHeight="1"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row>
    <row r="193" spans="1:171" s="13" customFormat="1" ht="15" customHeight="1"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row>
    <row r="194" spans="1:171" s="13" customFormat="1" ht="15" customHeight="1"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row>
    <row r="195" spans="1:171" s="13" customFormat="1" ht="15" customHeight="1"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row>
    <row r="196" spans="1:171" s="13" customFormat="1" ht="15" customHeight="1"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row>
    <row r="197" spans="1:171" s="13" customFormat="1" ht="15" customHeight="1"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row>
    <row r="198" spans="1:171" s="13" customFormat="1" ht="15" customHeight="1"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row>
    <row r="199" spans="1:171" s="13" customFormat="1" ht="15" customHeight="1"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row>
    <row r="200" spans="1:171" s="13" customFormat="1" ht="15" customHeight="1"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row>
    <row r="201" spans="1:171" s="13" customFormat="1" ht="15" customHeight="1" x14ac:dyDescent="0.2">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row>
    <row r="202" spans="1:171" s="13" customFormat="1" ht="15" customHeight="1" x14ac:dyDescent="0.2">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row>
    <row r="203" spans="1:171" s="13" customFormat="1" ht="15" customHeight="1" x14ac:dyDescent="0.2">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row>
    <row r="204" spans="1:171" s="13" customFormat="1" ht="15" customHeight="1" x14ac:dyDescent="0.2">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row>
    <row r="205" spans="1:171" s="13" customFormat="1" ht="15" customHeight="1" x14ac:dyDescent="0.2">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row>
    <row r="206" spans="1:171" s="13" customFormat="1" ht="15" customHeight="1" x14ac:dyDescent="0.2">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row>
    <row r="207" spans="1:171" s="13" customFormat="1" ht="15" customHeight="1" x14ac:dyDescent="0.2">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row>
    <row r="208" spans="1:171" s="13" customFormat="1" ht="15" customHeight="1" x14ac:dyDescent="0.2">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row>
    <row r="209" spans="1:171" s="13" customFormat="1" ht="15" customHeight="1" x14ac:dyDescent="0.2">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row>
    <row r="210" spans="1:171" s="13" customFormat="1" ht="15" customHeight="1" x14ac:dyDescent="0.2">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row>
    <row r="211" spans="1:171" s="13" customFormat="1" ht="15" customHeight="1" x14ac:dyDescent="0.2">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row>
    <row r="212" spans="1:171" s="13" customFormat="1" ht="15" customHeight="1" x14ac:dyDescent="0.2">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row>
    <row r="213" spans="1:171" s="13" customFormat="1" ht="15" customHeight="1" x14ac:dyDescent="0.2">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row>
    <row r="214" spans="1:171" s="13" customFormat="1" ht="15" customHeight="1" x14ac:dyDescent="0.2">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row>
    <row r="215" spans="1:171" s="13" customFormat="1" ht="15" customHeight="1" x14ac:dyDescent="0.2">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row>
    <row r="216" spans="1:171" s="13" customFormat="1" ht="15" customHeight="1" x14ac:dyDescent="0.2">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row>
    <row r="217" spans="1:171" s="13" customFormat="1" ht="15" customHeight="1" x14ac:dyDescent="0.2">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row>
    <row r="218" spans="1:171" s="13" customFormat="1" ht="15" customHeight="1" x14ac:dyDescent="0.2">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row>
    <row r="219" spans="1:171" s="13" customFormat="1" ht="15" customHeight="1" x14ac:dyDescent="0.2">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row>
    <row r="220" spans="1:171" s="13" customFormat="1" ht="15" customHeight="1" x14ac:dyDescent="0.2">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row>
    <row r="221" spans="1:171" s="13" customFormat="1" ht="15" customHeight="1" x14ac:dyDescent="0.2">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row>
    <row r="222" spans="1:171" s="13" customFormat="1" ht="15" customHeight="1" x14ac:dyDescent="0.2">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row>
    <row r="223" spans="1:171" s="13" customFormat="1" ht="15" customHeight="1" x14ac:dyDescent="0.2">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row>
    <row r="224" spans="1:171" s="13" customFormat="1" ht="15" customHeight="1" x14ac:dyDescent="0.2">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row>
    <row r="225" spans="1:171" s="13" customFormat="1" ht="15" customHeight="1" x14ac:dyDescent="0.2">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row>
    <row r="226" spans="1:171" s="13" customFormat="1" ht="15" customHeight="1" x14ac:dyDescent="0.2">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row>
    <row r="227" spans="1:171" s="13" customFormat="1" ht="15" customHeight="1" x14ac:dyDescent="0.2">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row>
    <row r="228" spans="1:171" s="13" customFormat="1" ht="15" customHeight="1" x14ac:dyDescent="0.2">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row>
    <row r="229" spans="1:171" s="13" customFormat="1" ht="15" customHeight="1" x14ac:dyDescent="0.2">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row>
    <row r="230" spans="1:171" s="13" customFormat="1" ht="15" customHeight="1" x14ac:dyDescent="0.2">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row>
    <row r="231" spans="1:171" s="13" customFormat="1" ht="15" customHeight="1" x14ac:dyDescent="0.2">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row>
    <row r="232" spans="1:171" s="13" customFormat="1" ht="15" customHeight="1" x14ac:dyDescent="0.2">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row>
    <row r="233" spans="1:171" s="13" customFormat="1" ht="15" customHeight="1" x14ac:dyDescent="0.2">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row>
    <row r="234" spans="1:171" s="13" customFormat="1" ht="15" customHeight="1" x14ac:dyDescent="0.2">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row>
    <row r="235" spans="1:171" s="13" customFormat="1" ht="15" customHeight="1" x14ac:dyDescent="0.2">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row>
    <row r="236" spans="1:171" s="13" customFormat="1" ht="15" customHeight="1" x14ac:dyDescent="0.2">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row>
    <row r="237" spans="1:171" s="13" customFormat="1" ht="15" customHeight="1" x14ac:dyDescent="0.2">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row>
    <row r="238" spans="1:171" s="13" customFormat="1" ht="15" customHeight="1" x14ac:dyDescent="0.2">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row>
    <row r="239" spans="1:171" s="13" customFormat="1" ht="15" customHeight="1" x14ac:dyDescent="0.2">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row>
    <row r="240" spans="1:171" s="13" customFormat="1" ht="15" customHeight="1" x14ac:dyDescent="0.2">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row>
    <row r="241" spans="1:171" s="13" customFormat="1" ht="15" customHeight="1" x14ac:dyDescent="0.2">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row>
    <row r="242" spans="1:171" s="13" customFormat="1" ht="15" customHeight="1" x14ac:dyDescent="0.2">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row>
    <row r="243" spans="1:171" s="13" customFormat="1" ht="15" customHeight="1" x14ac:dyDescent="0.2">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row>
    <row r="244" spans="1:171" s="13" customFormat="1" ht="15" customHeight="1" x14ac:dyDescent="0.2">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row>
    <row r="245" spans="1:171" s="13" customFormat="1" ht="15" customHeight="1" x14ac:dyDescent="0.2">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row>
    <row r="246" spans="1:171" s="13" customFormat="1" ht="15" customHeight="1" x14ac:dyDescent="0.2">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row>
    <row r="247" spans="1:171" s="13" customFormat="1" ht="15" customHeight="1" x14ac:dyDescent="0.2">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row>
    <row r="248" spans="1:171" s="13" customFormat="1" ht="15" customHeight="1" x14ac:dyDescent="0.2">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row>
    <row r="249" spans="1:171" s="13" customFormat="1" ht="15" customHeight="1" x14ac:dyDescent="0.2">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row>
    <row r="250" spans="1:171" s="13" customFormat="1" ht="15" customHeight="1" x14ac:dyDescent="0.2">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row>
    <row r="251" spans="1:171" s="13" customFormat="1" ht="15" customHeight="1" x14ac:dyDescent="0.2">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row>
    <row r="252" spans="1:171" s="13" customFormat="1" ht="15" customHeight="1" x14ac:dyDescent="0.2">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row>
    <row r="253" spans="1:171" s="13" customFormat="1" ht="15" customHeight="1" x14ac:dyDescent="0.2">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row>
    <row r="254" spans="1:171" s="13" customFormat="1" ht="15" customHeight="1" x14ac:dyDescent="0.2">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row>
    <row r="255" spans="1:171" s="13" customFormat="1" ht="15" customHeight="1" x14ac:dyDescent="0.2">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row>
    <row r="256" spans="1:171" s="13" customFormat="1" ht="15" customHeight="1" x14ac:dyDescent="0.2">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row>
    <row r="257" spans="1:171" s="13" customFormat="1" ht="15" customHeight="1" x14ac:dyDescent="0.2">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row>
    <row r="258" spans="1:171" s="13" customFormat="1" ht="15" customHeight="1" x14ac:dyDescent="0.2">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row>
    <row r="259" spans="1:171" s="13" customFormat="1" ht="15" customHeight="1" x14ac:dyDescent="0.2">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row>
    <row r="260" spans="1:171" s="13" customFormat="1" ht="15" customHeight="1" x14ac:dyDescent="0.2">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row>
    <row r="261" spans="1:171" s="13" customFormat="1" ht="15" customHeight="1" x14ac:dyDescent="0.2">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row>
    <row r="262" spans="1:171" s="13" customFormat="1" ht="15" customHeight="1" x14ac:dyDescent="0.2">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row>
    <row r="263" spans="1:171" s="13" customFormat="1" ht="15" customHeight="1" x14ac:dyDescent="0.2">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row>
    <row r="264" spans="1:171" s="13" customFormat="1" ht="15" customHeight="1" x14ac:dyDescent="0.2">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row>
    <row r="265" spans="1:171" s="13" customFormat="1" ht="15" customHeight="1" x14ac:dyDescent="0.2">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row>
    <row r="266" spans="1:171" s="13" customFormat="1" ht="15" customHeight="1" x14ac:dyDescent="0.2">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row>
    <row r="267" spans="1:171" s="13" customFormat="1" ht="15" customHeight="1" x14ac:dyDescent="0.2">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row>
    <row r="268" spans="1:171" s="13" customFormat="1" ht="15" customHeight="1" x14ac:dyDescent="0.2">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row>
    <row r="269" spans="1:171" s="13" customFormat="1" ht="15" customHeight="1" x14ac:dyDescent="0.2">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row>
    <row r="270" spans="1:171" s="13" customFormat="1" ht="15" customHeight="1" x14ac:dyDescent="0.2">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row>
    <row r="271" spans="1:171" s="13" customFormat="1" ht="15" customHeight="1" x14ac:dyDescent="0.2">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row>
    <row r="272" spans="1:171" s="13" customFormat="1" ht="15" customHeight="1" x14ac:dyDescent="0.2">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row>
    <row r="273" spans="1:171" s="13" customFormat="1" ht="15" customHeight="1" x14ac:dyDescent="0.2">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row>
    <row r="274" spans="1:171" s="13" customFormat="1" ht="15" customHeight="1" x14ac:dyDescent="0.2">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row>
    <row r="275" spans="1:171" s="13" customFormat="1" ht="15" customHeight="1" x14ac:dyDescent="0.2">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row>
    <row r="276" spans="1:171" s="13" customFormat="1" ht="15" customHeight="1" x14ac:dyDescent="0.2">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row>
    <row r="277" spans="1:171" s="13" customFormat="1" ht="15" customHeight="1" x14ac:dyDescent="0.2">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row>
    <row r="278" spans="1:171" s="13" customFormat="1" ht="15" customHeight="1" x14ac:dyDescent="0.2">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row>
    <row r="279" spans="1:171" s="13" customFormat="1" ht="15" customHeight="1" x14ac:dyDescent="0.2">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row>
    <row r="280" spans="1:171" s="13" customFormat="1" ht="15" customHeight="1" x14ac:dyDescent="0.2">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row>
    <row r="281" spans="1:171" s="13" customFormat="1" ht="15" customHeight="1" x14ac:dyDescent="0.2">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row>
    <row r="282" spans="1:171" s="13" customFormat="1" ht="15" customHeight="1" x14ac:dyDescent="0.2">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row>
    <row r="283" spans="1:171" s="13" customFormat="1" ht="15" customHeight="1" x14ac:dyDescent="0.2">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row>
    <row r="284" spans="1:171" s="13" customFormat="1" ht="15" customHeight="1" x14ac:dyDescent="0.2">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row>
    <row r="285" spans="1:171" s="13" customFormat="1" ht="15" customHeight="1" x14ac:dyDescent="0.2">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row>
    <row r="286" spans="1:171" s="13" customFormat="1" ht="15" customHeight="1" x14ac:dyDescent="0.2">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row>
    <row r="287" spans="1:171" s="13" customFormat="1" ht="15" customHeight="1" x14ac:dyDescent="0.2">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row>
    <row r="288" spans="1:171" s="13" customFormat="1" ht="15" customHeight="1" x14ac:dyDescent="0.2">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row>
    <row r="289" spans="70:171" s="13" customFormat="1" ht="15" customHeight="1" x14ac:dyDescent="0.2">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row>
    <row r="290" spans="70:171" s="13" customFormat="1" ht="15" customHeight="1" x14ac:dyDescent="0.2">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row>
    <row r="291" spans="70:171" s="13" customFormat="1" ht="15" customHeight="1" x14ac:dyDescent="0.2">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row>
    <row r="292" spans="70:171" s="13" customFormat="1" ht="15" customHeight="1" x14ac:dyDescent="0.2">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row>
    <row r="293" spans="70:171" s="13" customFormat="1" ht="15" customHeight="1" x14ac:dyDescent="0.2">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row>
    <row r="294" spans="70:171" s="13" customFormat="1" ht="15" customHeight="1" x14ac:dyDescent="0.2">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row>
    <row r="295" spans="70:171" s="13" customFormat="1" ht="15" customHeight="1" x14ac:dyDescent="0.2">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row>
    <row r="296" spans="70:171" s="13" customFormat="1" ht="15" customHeight="1" x14ac:dyDescent="0.2">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row>
    <row r="297" spans="70:171" s="13" customFormat="1" ht="15" customHeight="1" x14ac:dyDescent="0.2">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row>
    <row r="298" spans="70:171" s="13" customFormat="1" ht="15" customHeight="1" x14ac:dyDescent="0.2">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row>
    <row r="299" spans="70:171" s="13" customFormat="1" ht="15" customHeight="1" x14ac:dyDescent="0.2">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row>
    <row r="300" spans="70:171" s="13" customFormat="1" ht="15" customHeight="1" x14ac:dyDescent="0.2">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row>
    <row r="301" spans="70:171" s="13" customFormat="1" ht="15" customHeight="1" x14ac:dyDescent="0.2">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row>
    <row r="302" spans="70:171" s="13" customFormat="1" ht="15" customHeight="1" x14ac:dyDescent="0.2">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row>
    <row r="303" spans="70:171" s="13" customFormat="1" ht="15" customHeight="1" x14ac:dyDescent="0.2">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row>
    <row r="304" spans="70:171" s="13" customFormat="1" ht="15" customHeight="1" x14ac:dyDescent="0.2">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row>
    <row r="305" spans="70:171" s="13" customFormat="1" ht="15" customHeight="1" x14ac:dyDescent="0.2">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row>
    <row r="306" spans="70:171" s="13" customFormat="1" ht="15" customHeight="1" x14ac:dyDescent="0.2">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row>
    <row r="307" spans="70:171" s="13" customFormat="1" ht="15" customHeight="1" x14ac:dyDescent="0.2">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row>
    <row r="308" spans="70:171" s="13" customFormat="1" ht="15" customHeight="1" x14ac:dyDescent="0.2">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row>
    <row r="309" spans="70:171" s="13" customFormat="1" ht="15" customHeight="1" x14ac:dyDescent="0.2">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row>
    <row r="310" spans="70:171" s="13" customFormat="1" ht="15" customHeight="1" x14ac:dyDescent="0.2">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row>
    <row r="311" spans="70:171" s="13" customFormat="1" ht="15" customHeight="1" x14ac:dyDescent="0.2">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row>
    <row r="312" spans="70:171" s="13" customFormat="1" ht="15" customHeight="1" x14ac:dyDescent="0.2">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row>
    <row r="313" spans="70:171" s="13" customFormat="1" ht="15" customHeight="1" x14ac:dyDescent="0.2">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row>
    <row r="314" spans="70:171" s="13" customFormat="1" ht="15" customHeight="1" x14ac:dyDescent="0.2">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row>
    <row r="315" spans="70:171" s="13" customFormat="1" ht="15" customHeight="1" x14ac:dyDescent="0.2">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row>
    <row r="316" spans="70:171" s="13" customFormat="1" ht="15" customHeight="1" x14ac:dyDescent="0.2">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row>
    <row r="317" spans="70:171" s="13" customFormat="1" ht="15" customHeight="1" x14ac:dyDescent="0.2">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row>
    <row r="318" spans="70:171" s="13" customFormat="1" ht="15" customHeight="1" x14ac:dyDescent="0.2">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row>
    <row r="319" spans="70:171" s="13" customFormat="1" ht="15" customHeight="1" x14ac:dyDescent="0.2">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row>
    <row r="320" spans="70:171" s="13" customFormat="1" ht="15" customHeight="1" x14ac:dyDescent="0.2">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row>
    <row r="321" spans="70:171" s="13" customFormat="1" ht="15" customHeight="1" x14ac:dyDescent="0.2">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row>
    <row r="322" spans="70:171" s="13" customFormat="1" ht="15" customHeight="1" x14ac:dyDescent="0.2">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row>
    <row r="323" spans="70:171" s="13" customFormat="1" ht="15" customHeight="1" x14ac:dyDescent="0.2">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row>
    <row r="324" spans="70:171" s="13" customFormat="1" ht="15" customHeight="1" x14ac:dyDescent="0.2">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row>
    <row r="325" spans="70:171" s="13" customFormat="1" ht="15" customHeight="1" x14ac:dyDescent="0.2">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row>
    <row r="326" spans="70:171" s="13" customFormat="1" ht="15" customHeight="1" x14ac:dyDescent="0.2">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row>
    <row r="327" spans="70:171" s="13" customFormat="1" ht="15" customHeight="1" x14ac:dyDescent="0.2">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row>
    <row r="328" spans="70:171" s="13" customFormat="1" ht="15" customHeight="1" x14ac:dyDescent="0.2">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row>
    <row r="329" spans="70:171" s="13" customFormat="1" ht="15" customHeight="1" x14ac:dyDescent="0.2">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row>
    <row r="330" spans="70:171" s="13" customFormat="1" ht="15" customHeight="1" x14ac:dyDescent="0.2">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row>
    <row r="331" spans="70:171" s="13" customFormat="1" ht="15" customHeight="1" x14ac:dyDescent="0.2">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row>
    <row r="332" spans="70:171" s="13" customFormat="1" ht="15" customHeight="1" x14ac:dyDescent="0.2">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row>
    <row r="333" spans="70:171" s="13" customFormat="1" ht="15" customHeight="1" x14ac:dyDescent="0.2">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row>
    <row r="334" spans="70:171" s="13" customFormat="1" ht="15" customHeight="1" x14ac:dyDescent="0.2">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row>
    <row r="335" spans="70:171" s="13" customFormat="1" ht="15" customHeight="1" x14ac:dyDescent="0.2">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row>
    <row r="336" spans="70:171" s="13" customFormat="1" ht="15" customHeight="1" x14ac:dyDescent="0.2">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row>
    <row r="337" spans="70:171" s="13" customFormat="1" ht="15" customHeight="1" x14ac:dyDescent="0.2">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row>
    <row r="338" spans="70:171" s="13" customFormat="1" ht="15" customHeight="1" x14ac:dyDescent="0.2">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row>
    <row r="339" spans="70:171" s="13" customFormat="1" ht="15" customHeight="1" x14ac:dyDescent="0.2">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row>
    <row r="340" spans="70:171" s="13" customFormat="1" ht="15" customHeight="1" x14ac:dyDescent="0.2">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row>
    <row r="341" spans="70:171" s="13" customFormat="1" ht="15" customHeight="1" x14ac:dyDescent="0.2">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row>
    <row r="342" spans="70:171" s="13" customFormat="1" ht="15" customHeight="1" x14ac:dyDescent="0.2">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row>
    <row r="343" spans="70:171" s="13" customFormat="1" ht="15" customHeight="1" x14ac:dyDescent="0.2">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row>
    <row r="344" spans="70:171" s="13" customFormat="1" ht="15" customHeight="1" x14ac:dyDescent="0.2">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row>
    <row r="345" spans="70:171" s="13" customFormat="1" ht="15" customHeight="1" x14ac:dyDescent="0.2">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row>
    <row r="346" spans="70:171" s="13" customFormat="1" ht="15" customHeight="1" x14ac:dyDescent="0.2">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row>
    <row r="347" spans="70:171" s="13" customFormat="1" ht="15" customHeight="1" x14ac:dyDescent="0.2">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row>
    <row r="348" spans="70:171" s="13" customFormat="1" ht="15" customHeight="1" x14ac:dyDescent="0.2">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row>
    <row r="349" spans="70:171" s="13" customFormat="1" ht="15" customHeight="1" x14ac:dyDescent="0.2">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row>
    <row r="350" spans="70:171" s="13" customFormat="1" ht="15" customHeight="1" x14ac:dyDescent="0.2">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row>
    <row r="351" spans="70:171" s="13" customFormat="1" ht="15" customHeight="1" x14ac:dyDescent="0.2">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row>
    <row r="352" spans="70:171" s="13" customFormat="1" ht="15" customHeight="1" x14ac:dyDescent="0.2">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row>
    <row r="353" spans="70:171" s="13" customFormat="1" ht="15" customHeight="1" x14ac:dyDescent="0.2">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row>
    <row r="354" spans="70:171" s="13" customFormat="1" ht="15" customHeight="1" x14ac:dyDescent="0.2">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row>
    <row r="355" spans="70:171" s="13" customFormat="1" ht="15" customHeight="1" x14ac:dyDescent="0.2">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row>
    <row r="356" spans="70:171" s="13" customFormat="1" ht="15" customHeight="1" x14ac:dyDescent="0.2">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row>
    <row r="357" spans="70:171" s="13" customFormat="1" ht="15" customHeight="1" x14ac:dyDescent="0.2">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row>
    <row r="358" spans="70:171" s="13" customFormat="1" ht="15" customHeight="1" x14ac:dyDescent="0.2">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row>
    <row r="359" spans="70:171" s="13" customFormat="1" ht="15" customHeight="1" x14ac:dyDescent="0.2">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row>
    <row r="360" spans="70:171" s="13" customFormat="1" ht="15" customHeight="1" x14ac:dyDescent="0.2">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row>
    <row r="361" spans="70:171" s="13" customFormat="1" ht="15" customHeight="1" x14ac:dyDescent="0.2">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row>
    <row r="362" spans="70:171" s="13" customFormat="1" ht="15" customHeight="1" x14ac:dyDescent="0.2">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row>
    <row r="363" spans="70:171" s="13" customFormat="1" ht="15" customHeight="1" x14ac:dyDescent="0.2">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row>
    <row r="364" spans="70:171" s="13" customFormat="1" ht="15" customHeight="1" x14ac:dyDescent="0.2">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row>
    <row r="365" spans="70:171" s="13" customFormat="1" ht="15" customHeight="1" x14ac:dyDescent="0.2">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row>
    <row r="366" spans="70:171" s="13" customFormat="1" ht="15" customHeight="1" x14ac:dyDescent="0.2">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row>
    <row r="367" spans="70:171" s="13" customFormat="1" ht="15" customHeight="1" x14ac:dyDescent="0.2">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row>
    <row r="368" spans="70:171" s="13" customFormat="1" ht="15" customHeight="1" x14ac:dyDescent="0.2">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row>
    <row r="369" spans="70:171" s="13" customFormat="1" ht="15" customHeight="1" x14ac:dyDescent="0.2">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row>
    <row r="370" spans="70:171" s="13" customFormat="1" ht="15" customHeight="1" x14ac:dyDescent="0.2">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row>
    <row r="371" spans="70:171" s="13" customFormat="1" ht="15" customHeight="1" x14ac:dyDescent="0.2">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row>
    <row r="372" spans="70:171" s="13" customFormat="1" ht="15" customHeight="1" x14ac:dyDescent="0.2">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row>
    <row r="373" spans="70:171" s="13" customFormat="1" ht="15" customHeight="1" x14ac:dyDescent="0.2">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row>
    <row r="374" spans="70:171" s="13" customFormat="1" ht="15" customHeight="1" x14ac:dyDescent="0.2">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row>
    <row r="375" spans="70:171" s="13" customFormat="1" ht="15" customHeight="1" x14ac:dyDescent="0.2">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row>
    <row r="376" spans="70:171" s="13" customFormat="1" ht="15" customHeight="1" x14ac:dyDescent="0.2">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row>
    <row r="377" spans="70:171" s="13" customFormat="1" ht="15" customHeight="1" x14ac:dyDescent="0.2">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row>
    <row r="378" spans="70:171" s="13" customFormat="1" ht="15" customHeight="1" x14ac:dyDescent="0.2">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row>
    <row r="379" spans="70:171" s="13" customFormat="1" ht="15" customHeight="1" x14ac:dyDescent="0.2">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row>
    <row r="380" spans="70:171" s="13" customFormat="1" ht="15" customHeight="1" x14ac:dyDescent="0.2">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row>
    <row r="381" spans="70:171" s="13" customFormat="1" ht="15" customHeight="1" x14ac:dyDescent="0.2">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row>
    <row r="382" spans="70:171" s="13" customFormat="1" ht="15" customHeight="1" x14ac:dyDescent="0.2">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row>
    <row r="383" spans="70:171" s="13" customFormat="1" ht="15" customHeight="1" x14ac:dyDescent="0.2">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row>
    <row r="384" spans="70:171" s="13" customFormat="1" ht="15" customHeight="1" x14ac:dyDescent="0.2">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row>
    <row r="385" spans="70:171" s="13" customFormat="1" ht="15" customHeight="1" x14ac:dyDescent="0.2">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row>
    <row r="386" spans="70:171" s="13" customFormat="1" ht="15" customHeight="1" x14ac:dyDescent="0.2">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row>
    <row r="387" spans="70:171" s="13" customFormat="1" ht="15" customHeight="1" x14ac:dyDescent="0.2">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row>
    <row r="388" spans="70:171" s="13" customFormat="1" ht="15" customHeight="1" x14ac:dyDescent="0.2">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row>
    <row r="389" spans="70:171" s="13" customFormat="1" ht="15" customHeight="1" x14ac:dyDescent="0.2">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row>
    <row r="390" spans="70:171" s="13" customFormat="1" ht="15" customHeight="1" x14ac:dyDescent="0.2">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row>
    <row r="391" spans="70:171" s="13" customFormat="1" ht="15" customHeight="1" x14ac:dyDescent="0.2">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row>
    <row r="392" spans="70:171" s="13" customFormat="1" ht="15" customHeight="1" x14ac:dyDescent="0.2">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row>
    <row r="393" spans="70:171" s="13" customFormat="1" ht="15" customHeight="1" x14ac:dyDescent="0.2">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row>
    <row r="394" spans="70:171" s="13" customFormat="1" ht="15" customHeight="1" x14ac:dyDescent="0.2">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row>
    <row r="395" spans="70:171" s="13" customFormat="1" ht="15" customHeight="1" x14ac:dyDescent="0.2">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row>
    <row r="396" spans="70:171" s="13" customFormat="1" ht="15" customHeight="1" x14ac:dyDescent="0.2">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row>
    <row r="397" spans="70:171" s="13" customFormat="1" ht="15" customHeight="1" x14ac:dyDescent="0.2">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row>
    <row r="398" spans="70:171" s="13" customFormat="1" ht="15" customHeight="1" x14ac:dyDescent="0.2">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row>
    <row r="399" spans="70:171" s="13" customFormat="1" ht="15" customHeight="1" x14ac:dyDescent="0.2">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row>
    <row r="400" spans="70:171" s="13" customFormat="1" ht="15" customHeight="1" x14ac:dyDescent="0.2">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row>
    <row r="401" spans="70:171" s="13" customFormat="1" ht="15" customHeight="1" x14ac:dyDescent="0.2">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row>
    <row r="402" spans="70:171" s="13" customFormat="1" ht="15" customHeight="1" x14ac:dyDescent="0.2">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row>
    <row r="403" spans="70:171" s="13" customFormat="1" ht="15" customHeight="1" x14ac:dyDescent="0.2">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row>
    <row r="404" spans="70:171" s="13" customFormat="1" ht="15" customHeight="1" x14ac:dyDescent="0.2">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row>
    <row r="405" spans="70:171" s="13" customFormat="1" ht="15" customHeight="1" x14ac:dyDescent="0.2">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row>
    <row r="406" spans="70:171" s="13" customFormat="1" ht="15" customHeight="1" x14ac:dyDescent="0.2">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row>
    <row r="407" spans="70:171" s="13" customFormat="1" ht="15" customHeight="1" x14ac:dyDescent="0.2">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row>
    <row r="408" spans="70:171" s="13" customFormat="1" ht="15" customHeight="1" x14ac:dyDescent="0.2">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row>
    <row r="409" spans="70:171" s="13" customFormat="1" ht="15" customHeight="1" x14ac:dyDescent="0.2">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row>
    <row r="410" spans="70:171" s="13" customFormat="1" ht="15" customHeight="1" x14ac:dyDescent="0.2">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row>
    <row r="411" spans="70:171" s="13" customFormat="1" ht="15" customHeight="1" x14ac:dyDescent="0.2">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row>
    <row r="412" spans="70:171" s="13" customFormat="1" ht="15" customHeight="1" x14ac:dyDescent="0.2">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row>
    <row r="413" spans="70:171" s="13" customFormat="1" ht="15" customHeight="1" x14ac:dyDescent="0.2">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row>
    <row r="414" spans="70:171" s="13" customFormat="1" ht="15" customHeight="1" x14ac:dyDescent="0.2">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row>
    <row r="415" spans="70:171" s="13" customFormat="1" ht="15" customHeight="1" x14ac:dyDescent="0.2">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row>
    <row r="416" spans="70:171" s="13" customFormat="1" ht="15" customHeight="1" x14ac:dyDescent="0.2">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row>
    <row r="417" spans="70:171" s="13" customFormat="1" ht="15" customHeight="1" x14ac:dyDescent="0.2">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row>
    <row r="418" spans="70:171" s="13" customFormat="1" ht="15" customHeight="1" x14ac:dyDescent="0.2">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row>
    <row r="419" spans="70:171" s="13" customFormat="1" ht="15" customHeight="1" x14ac:dyDescent="0.2">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row>
    <row r="420" spans="70:171" s="13" customFormat="1" ht="15" customHeight="1" x14ac:dyDescent="0.2">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row>
    <row r="421" spans="70:171" s="13" customFormat="1" ht="15" customHeight="1" x14ac:dyDescent="0.2">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row>
    <row r="422" spans="70:171" s="13" customFormat="1" ht="15" customHeight="1" x14ac:dyDescent="0.2">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row>
    <row r="423" spans="70:171" s="13" customFormat="1" ht="15" customHeight="1" x14ac:dyDescent="0.2">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row>
    <row r="424" spans="70:171" s="13" customFormat="1" ht="15" customHeight="1" x14ac:dyDescent="0.2">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row>
    <row r="425" spans="70:171" s="13" customFormat="1" ht="15" customHeight="1" x14ac:dyDescent="0.2">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row>
    <row r="426" spans="70:171" s="13" customFormat="1" ht="15" customHeight="1" x14ac:dyDescent="0.2">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row>
    <row r="427" spans="70:171" s="13" customFormat="1" ht="15" customHeight="1" x14ac:dyDescent="0.2">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row>
    <row r="428" spans="70:171" s="13" customFormat="1" ht="15" customHeight="1" x14ac:dyDescent="0.2">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row>
    <row r="429" spans="70:171" s="13" customFormat="1" ht="15" customHeight="1" x14ac:dyDescent="0.2">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row>
    <row r="430" spans="70:171" s="13" customFormat="1" ht="15" customHeight="1" x14ac:dyDescent="0.2">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row>
    <row r="431" spans="70:171" s="13" customFormat="1" ht="15" customHeight="1" x14ac:dyDescent="0.2">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row>
    <row r="432" spans="70:171" s="13" customFormat="1" ht="15" customHeight="1" x14ac:dyDescent="0.2">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row>
    <row r="433" spans="70:171" s="13" customFormat="1" ht="15" customHeight="1" x14ac:dyDescent="0.2">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row>
    <row r="434" spans="70:171" s="13" customFormat="1" ht="15" customHeight="1" x14ac:dyDescent="0.2">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row>
    <row r="435" spans="70:171" s="13" customFormat="1" ht="15" customHeight="1" x14ac:dyDescent="0.2">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row>
    <row r="436" spans="70:171" s="13" customFormat="1" ht="15" customHeight="1" x14ac:dyDescent="0.2">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row>
    <row r="437" spans="70:171" s="13" customFormat="1" ht="15" customHeight="1" x14ac:dyDescent="0.2">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row>
    <row r="438" spans="70:171" s="13" customFormat="1" ht="15" customHeight="1" x14ac:dyDescent="0.2">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row>
    <row r="439" spans="70:171" s="13" customFormat="1" ht="15" customHeight="1" x14ac:dyDescent="0.2">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row>
    <row r="440" spans="70:171" s="13" customFormat="1" ht="15" customHeight="1" x14ac:dyDescent="0.2">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row>
    <row r="441" spans="70:171" s="13" customFormat="1" ht="15" customHeight="1" x14ac:dyDescent="0.2">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row>
    <row r="442" spans="70:171" s="13" customFormat="1" ht="15" customHeight="1" x14ac:dyDescent="0.2">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row>
    <row r="443" spans="70:171" s="13" customFormat="1" ht="15" customHeight="1" x14ac:dyDescent="0.2">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row>
    <row r="444" spans="70:171" s="13" customFormat="1" ht="15" customHeight="1" x14ac:dyDescent="0.2">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row>
    <row r="445" spans="70:171" s="13" customFormat="1" ht="15" customHeight="1" x14ac:dyDescent="0.2">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row>
    <row r="446" spans="70:171" s="13" customFormat="1" ht="15" customHeight="1" x14ac:dyDescent="0.2">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row>
    <row r="447" spans="70:171" s="13" customFormat="1" ht="15" customHeight="1" x14ac:dyDescent="0.2">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row>
    <row r="448" spans="70:171" s="13" customFormat="1" ht="15" customHeight="1" x14ac:dyDescent="0.2">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row>
    <row r="449" spans="70:171" s="13" customFormat="1" ht="15" customHeight="1" x14ac:dyDescent="0.2">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row>
    <row r="450" spans="70:171" s="13" customFormat="1" ht="15" customHeight="1" x14ac:dyDescent="0.2">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row>
    <row r="451" spans="70:171" s="13" customFormat="1" ht="15" customHeight="1" x14ac:dyDescent="0.2">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row>
    <row r="452" spans="70:171" s="13" customFormat="1" ht="15" customHeight="1" x14ac:dyDescent="0.2">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row>
    <row r="453" spans="70:171" s="13" customFormat="1" ht="15" customHeight="1" x14ac:dyDescent="0.2">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row>
    <row r="454" spans="70:171" s="13" customFormat="1" ht="15" customHeight="1" x14ac:dyDescent="0.2">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row>
    <row r="455" spans="70:171" s="13" customFormat="1" ht="15" customHeight="1" x14ac:dyDescent="0.2">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row>
    <row r="456" spans="70:171" s="13" customFormat="1" ht="15" customHeight="1" x14ac:dyDescent="0.2">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row>
    <row r="457" spans="70:171" s="13" customFormat="1" ht="15" customHeight="1" x14ac:dyDescent="0.2">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row>
    <row r="458" spans="70:171" s="13" customFormat="1" ht="15" customHeight="1" x14ac:dyDescent="0.2">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row>
    <row r="459" spans="70:171" s="13" customFormat="1" ht="15" customHeight="1" x14ac:dyDescent="0.2">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row>
    <row r="460" spans="70:171" s="13" customFormat="1" ht="15" customHeight="1" x14ac:dyDescent="0.2">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row>
    <row r="461" spans="70:171" s="13" customFormat="1" ht="15" customHeight="1" x14ac:dyDescent="0.2">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row>
    <row r="462" spans="70:171" s="13" customFormat="1" ht="15" customHeight="1" x14ac:dyDescent="0.2">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0378F06-0C88-4B23-9006-712DC4A83F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FINNED TUBE</vt:lpstr>
      <vt:lpstr>PLAIN TUBE</vt:lpstr>
      <vt:lpstr>SKYLINE</vt:lpstr>
      <vt:lpstr>SKYLINE PLINT</vt:lpstr>
      <vt:lpstr>L-LINE</vt:lpstr>
      <vt:lpstr>PROLINE</vt:lpstr>
      <vt:lpstr>KONVEKTOR_RADIATOR</vt:lpstr>
      <vt:lpstr>Data ALL</vt:lpstr>
      <vt:lpstr>KONRAD_DATA</vt:lpstr>
      <vt:lpstr>Dropdown</vt:lpstr>
      <vt:lpstr>SPROG</vt:lpstr>
      <vt:lpstr>IKONER</vt:lpstr>
      <vt:lpstr>Depth</vt:lpstr>
      <vt:lpstr>Højde</vt:lpstr>
      <vt:lpstr>KONRAD_TYPE</vt:lpstr>
      <vt:lpstr>KONRAD_YDELSER</vt:lpstr>
      <vt:lpstr>KONVEKTOR_RADIATOR!Print_Area</vt:lpstr>
      <vt:lpstr>SPROG</vt:lpstr>
      <vt:lpstr>WATTBTU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Meinertz</dc:creator>
  <cp:lastModifiedBy>Philip Meinertz</cp:lastModifiedBy>
  <cp:lastPrinted>2024-02-29T06:19:17Z</cp:lastPrinted>
  <dcterms:created xsi:type="dcterms:W3CDTF">2017-01-25T14:38:02Z</dcterms:created>
  <dcterms:modified xsi:type="dcterms:W3CDTF">2024-04-21T12:35:21Z</dcterms:modified>
</cp:coreProperties>
</file>