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032F551A-2676-4909-8674-5784236A8D81}" xr6:coauthVersionLast="47" xr6:coauthVersionMax="47" xr10:uidLastSave="{00000000-0000-0000-0000-000000000000}"/>
  <workbookProtection workbookAlgorithmName="SHA-512" workbookHashValue="mWawOw0J4w1lpgOOs23TV9pMzPiIGay70yoiQ0E05ntTlbHOQ4w0UMnSkd7rdzAZrBcbGde10OOwjk7o3/vfoQ==" workbookSaltValue="QWlq/ZpiXS8+asG5pgiEjQ==" workbookSpinCount="100000" lockStructure="1"/>
  <bookViews>
    <workbookView xWindow="150" yWindow="60" windowWidth="22530" windowHeight="20820" tabRatio="912" firstSheet="5" activeTab="5" xr2:uid="{D327D7C1-748B-4C6B-A578-75488019F8F7}"/>
  </bookViews>
  <sheets>
    <sheet name="FINNED TUBE" sheetId="10" state="hidden" r:id="rId1"/>
    <sheet name="PLAIN TUBE" sheetId="11" state="hidden" r:id="rId2"/>
    <sheet name="SKYLINE" sheetId="1" state="hidden" r:id="rId3"/>
    <sheet name="SKYLINE PLINT" sheetId="12" state="hidden" r:id="rId4"/>
    <sheet name="L-LINE" sheetId="14" state="hidden" r:id="rId5"/>
    <sheet name="PROLINE" sheetId="13"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50" i="15" l="1"/>
  <c r="D45" i="15"/>
  <c r="D41" i="15"/>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<sst xmlns="http://schemas.openxmlformats.org/spreadsheetml/2006/main" count="517" uniqueCount="310">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</sst>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FINNED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length: 400 mm. Max. Length 6000 mm. 
Please contact MEINERTZ for special sizes and special options.</v>
      </c>
      <c r="C18" s="90"/>
      <c r="G18" s="63"/>
      <c r="L18" s="152"/>
      <c r="M18" s="152"/>
    </row>
    <row r="19" spans="2:26" s="97" customFormat="1" ht="20.100000000000001" customHeight="1" x14ac:dyDescent="0.25">
      <c r="B19" s="97" t="str">
        <f ca="1">OFFSET(SPROG!$B$47,0,SPROG!$B$2)</f>
        <v>Nominal output</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Conversion factor</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Arithmetic</v>
      </c>
      <c r="C2" s="51">
        <v>100</v>
      </c>
      <c r="E2" s="51">
        <v>70</v>
      </c>
    </row>
    <row r="3" spans="1:5" x14ac:dyDescent="0.25">
      <c r="A3" t="str">
        <f ca="1">OFFSET(SPROG!$B$23,0,SPROG!$B$2)</f>
        <v>Logarithmic</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workbookViewId="0">
      <selection activeCell="B2" sqref="B2"/>
    </sheetView>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2</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PLAIN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length: 400 mm. Max. Length 6000 mm. 
Please contact MEINERTZ for special sizes and special options.</v>
      </c>
      <c r="C16" s="90"/>
      <c r="G16" s="63"/>
      <c r="M16" s="152"/>
      <c r="N16" s="152"/>
    </row>
    <row r="17" spans="2:26" s="97" customFormat="1" ht="20.100000000000001" customHeight="1" x14ac:dyDescent="0.25">
      <c r="B17" s="97" t="str">
        <f ca="1">OFFSET(SPROG!$B$47,0,SPROG!$B$2)</f>
        <v>Nominal output</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Conversion factor</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Calculation method</v>
      </c>
      <c r="C4" s="34" t="s">
        <v>250</v>
      </c>
      <c r="D4" s="103">
        <f>((C6+D6)/2)-E6</f>
        <v>50</v>
      </c>
      <c r="E4" s="103">
        <f>TRUNC((C6-D6)/LN((C6-E6)/(D6-E6)),2)</f>
        <v>49.83</v>
      </c>
      <c r="F4" s="103"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PLINTH</v>
      </c>
    </row>
    <row r="4" spans="2:15" ht="30" customHeight="1" x14ac:dyDescent="0.25">
      <c r="B4" s="67" t="str">
        <f ca="1">OFFSET(SPROG!$B$21,0,SPROG!$B$2)</f>
        <v>Calculation method</v>
      </c>
      <c r="C4" s="34" t="s">
        <v>250</v>
      </c>
      <c r="D4" s="103">
        <f>((C6+D6)/2)-E6</f>
        <v>50</v>
      </c>
      <c r="E4" s="103">
        <f>TRUNC((C6-D6)/LN((C6-E6)/(D6-E6)),2)</f>
        <v>49.83</v>
      </c>
      <c r="F4" s="175"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Calculation method</v>
      </c>
      <c r="C4" s="34" t="s">
        <v>250</v>
      </c>
      <c r="D4" s="103">
        <f>((C6+D6)/2)-E6</f>
        <v>50</v>
      </c>
      <c r="E4" s="103">
        <f>TRUNC((C6-D6)/LN((C6-E6)/(D6-E6)),2)</f>
        <v>49.83</v>
      </c>
      <c r="F4" s="177" t="str">
        <f>LEFT($C$4,1)</f>
        <v>A</v>
      </c>
    </row>
    <row r="5" spans="2:16"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Calculation method</v>
      </c>
      <c r="C4" s="34" t="s">
        <v>255</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Flow (C°)</v>
      </c>
      <c r="D5" s="69" t="str">
        <f ca="1">OFFSET(SPROG!$B$29,0,SPROG!$B$2)</f>
        <v>Return (C°)</v>
      </c>
      <c r="E5" s="69" t="str">
        <f ca="1">OFFSET(SPROG!$B$30,0,SPROG!$B$2)</f>
        <v>Room (C°)</v>
      </c>
      <c r="F5" s="69" t="str">
        <f ca="1">OFFSET(SPROG!$B$35,0,SPROG!$B$2)</f>
        <v>Trench / Steel trench depth</v>
      </c>
      <c r="G5" s="69" t="str">
        <f ca="1">OFFSET(SPROG!$B$32,0,SPROG!$B$2)</f>
        <v>Length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Water carrying tube</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Convector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Trench / Steel trench</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Nominal output</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Conversion factor</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For ProLine with steeltrench, it is recommended to calculate an adjustment tolerance of min. 10mm according to the trench depth.</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C4" sqref="C4"/>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CONVECTOR / RADIATOR</v>
      </c>
      <c r="C3" s="66"/>
    </row>
    <row r="4" spans="2:26" ht="30" customHeight="1" x14ac:dyDescent="0.25">
      <c r="B4" s="67" t="str">
        <f ca="1">OFFSET(SPROG!$B$21,0,SPROG!$B$2)</f>
        <v>Calculation method</v>
      </c>
      <c r="C4" s="176" t="s">
        <v>17</v>
      </c>
      <c r="D4" s="64">
        <f>((C6+D6)/2)-E6</f>
        <v>50</v>
      </c>
      <c r="E4" s="64"/>
      <c r="F4" s="64" t="str">
        <f>LEFT($C$4,1)</f>
        <v>A</v>
      </c>
    </row>
    <row r="5" spans="2:26" s="70" customFormat="1"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WITH TOP GRILL</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WITH TOP GRILL</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WITH FRONT PLATE AND TOP GRILL</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WITH FRONT PLATE AND TOP GRILL</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Water carrying tube</v>
      </c>
      <c r="E31" s="46"/>
      <c r="F31" s="46"/>
      <c r="G31" s="46"/>
    </row>
    <row r="32" spans="2:26" ht="21" customHeight="1" thickBot="1" x14ac:dyDescent="0.3">
      <c r="B32" s="94"/>
      <c r="C32" s="94"/>
      <c r="D32" s="48" t="str">
        <f ca="1">OFFSET(SPROG!$B$43,0,SPROG!$B$2)</f>
        <v>Front plate</v>
      </c>
      <c r="E32" s="47"/>
      <c r="F32" s="47"/>
      <c r="G32" s="47"/>
    </row>
    <row r="33" spans="2:26" ht="21" customHeight="1" thickBot="1" x14ac:dyDescent="0.3">
      <c r="B33" s="94"/>
      <c r="C33" s="94"/>
      <c r="D33" s="48" t="str">
        <f ca="1">OFFSET(SPROG!$B$44,0,SPROG!$B$2)</f>
        <v>Grill</v>
      </c>
      <c r="E33" s="47"/>
      <c r="F33" s="47"/>
      <c r="G33" s="47"/>
      <c r="H33" s="122"/>
    </row>
    <row r="34" spans="2:26" ht="21" customHeight="1" x14ac:dyDescent="0.25">
      <c r="B34" s="95"/>
      <c r="C34" s="95"/>
      <c r="D34" s="48" t="str">
        <f ca="1">OFFSET(SPROG!$B$46,0,SPROG!$B$2)</f>
        <v>Wall</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length: 400 mm. Max. Length 6000 mm. 
Please contact MEINERTZ for special sizes and special options.</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Nominal output</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Conversion factor</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IF('FINNED TUBE'!$F$4="A",'FINNED TUBE'!$D$4,'FINNED TUBE'!$E$4)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IF('FINNED TUBE'!$F$4="A",'FINNED TUBE'!$D$4,'FINNED TUBE'!$E$4)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IF('FINNED TUBE'!$F$4="A",'FINNED TUBE'!$D$4,'FINNED TUBE'!$E$4)</f>
        <v>50</v>
      </c>
      <c r="F6" s="152">
        <f t="shared" si="0"/>
        <v>286.44522460565457</v>
      </c>
      <c r="G6" s="127">
        <v>1000</v>
      </c>
      <c r="H6" s="153">
        <f t="shared" si="1"/>
        <v>286.44522460565457</v>
      </c>
    </row>
    <row r="7" spans="1:9" ht="15.75" thickBot="1" x14ac:dyDescent="0.3">
      <c r="A7" s="125"/>
      <c r="B7" s="170" t="s">
        <v>7</v>
      </c>
      <c r="C7" s="127">
        <v>3.2644000000000002</v>
      </c>
      <c r="D7" s="127">
        <v>1.2419</v>
      </c>
      <c r="E7" s="152">
        <f>IF('FINNED TUBE'!$F$4="A",'FINNED TUBE'!$D$4,'FINNED TUBE'!$E$4)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IF('FINNED TUBE'!$F$4="A",'FINNED TUBE'!$D$4,'FINNED TUBE'!$E$4)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IF('FINNED TUBE'!$F$4="A",'FINNED TUBE'!$D$4,'FINNED TUBE'!$E$4)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IF('FINNED TUBE'!$F$4="A",'FINNED TUBE'!$D$4,'FINNED TUBE'!$E$4)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IF('FINNED TUBE'!$F$4="A",'FINNED TUBE'!$D$4,'FINNED TUBE'!$E$4)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ROUND((I16*('PLAIN TUBE'!$G$6/1000)),0)</f>
        <v>237</v>
      </c>
      <c r="C16" s="162">
        <v>0.33</v>
      </c>
      <c r="D16" s="127">
        <v>2.5486</v>
      </c>
      <c r="E16" s="149">
        <v>1.2787999999999999</v>
      </c>
      <c r="F16" s="152">
        <f>IF('PLAIN TUBE'!$F$4="A",'PLAIN TUBE'!$D$4,'PLAIN TUBE'!$E$4)</f>
        <v>50</v>
      </c>
      <c r="G16" s="152">
        <f t="shared" ref="G16:G21" si="2">D16*(POWER(F16,E16))</f>
        <v>379.266531833263</v>
      </c>
      <c r="H16" s="127">
        <v>1600</v>
      </c>
      <c r="I16" s="153">
        <f t="shared" ref="I16:I21" si="3">G16/(H16/1000)</f>
        <v>237.04158239578936</v>
      </c>
    </row>
    <row r="17" spans="1:9" ht="15.75" thickBot="1" x14ac:dyDescent="0.3">
      <c r="A17" s="170" t="s">
        <v>184</v>
      </c>
      <c r="B17" s="161">
        <f>ROUND((I17*('PLAIN TUBE'!$G$6/1000)),0)</f>
        <v>286</v>
      </c>
      <c r="C17" s="163">
        <v>0.35</v>
      </c>
      <c r="D17" s="127">
        <v>2.0994999999999999</v>
      </c>
      <c r="E17" s="127">
        <v>1.2565999999999999</v>
      </c>
      <c r="F17" s="152">
        <f>IF('PLAIN TUBE'!$F$4="A",'PLAIN TUBE'!$D$4,'PLAIN TUBE'!$E$4)</f>
        <v>50</v>
      </c>
      <c r="G17" s="152">
        <f t="shared" si="2"/>
        <v>286.44522460565457</v>
      </c>
      <c r="H17" s="127">
        <v>1000</v>
      </c>
      <c r="I17" s="153">
        <f t="shared" si="3"/>
        <v>286.44522460565457</v>
      </c>
    </row>
    <row r="18" spans="1:9" ht="15.75" thickBot="1" x14ac:dyDescent="0.3">
      <c r="A18" s="170" t="s">
        <v>185</v>
      </c>
      <c r="B18" s="161">
        <f>ROUND((I18*('PLAIN TUBE'!$G$6/1000)),0)</f>
        <v>300</v>
      </c>
      <c r="C18" s="162">
        <v>0.39</v>
      </c>
      <c r="D18" s="127">
        <v>3.2644000000000002</v>
      </c>
      <c r="E18" s="127">
        <v>1.2419</v>
      </c>
      <c r="F18" s="152">
        <f>IF('PLAIN TUBE'!$F$4="A",'PLAIN TUBE'!$D$4,'PLAIN TUBE'!$E$4)</f>
        <v>50</v>
      </c>
      <c r="G18" s="152">
        <f t="shared" si="2"/>
        <v>420.48859183886344</v>
      </c>
      <c r="H18" s="127">
        <v>1400</v>
      </c>
      <c r="I18" s="153">
        <f t="shared" si="3"/>
        <v>300.34899417061678</v>
      </c>
    </row>
    <row r="19" spans="1:9" ht="15.75" thickBot="1" x14ac:dyDescent="0.3">
      <c r="A19" s="170" t="s">
        <v>186</v>
      </c>
      <c r="B19" s="161">
        <f>ROUND((I19*('PLAIN TUBE'!$G$6/1000)),0)</f>
        <v>324</v>
      </c>
      <c r="C19" s="162">
        <v>0.4</v>
      </c>
      <c r="D19" s="127">
        <v>3.4300999999999999</v>
      </c>
      <c r="E19" s="153">
        <v>1.2490000000000001</v>
      </c>
      <c r="F19" s="152">
        <f>IF('PLAIN TUBE'!$F$4="A",'PLAIN TUBE'!$D$4,'PLAIN TUBE'!$E$4)</f>
        <v>50</v>
      </c>
      <c r="G19" s="152">
        <f t="shared" si="2"/>
        <v>454.27654795217188</v>
      </c>
      <c r="H19" s="127">
        <v>1400</v>
      </c>
      <c r="I19" s="153">
        <f t="shared" si="3"/>
        <v>324.48324853726564</v>
      </c>
    </row>
    <row r="20" spans="1:9" ht="15.75" thickBot="1" x14ac:dyDescent="0.3">
      <c r="A20" s="170" t="s">
        <v>187</v>
      </c>
      <c r="B20" s="161">
        <f>ROUND((I20*('PLAIN TUBE'!$G$6/1000)),0)</f>
        <v>374</v>
      </c>
      <c r="C20" s="162">
        <v>0.42</v>
      </c>
      <c r="D20" s="127">
        <v>3.1674000000000002</v>
      </c>
      <c r="E20" s="153">
        <v>1.22</v>
      </c>
      <c r="F20" s="152">
        <f>IF('PLAIN TUBE'!$F$4="A",'PLAIN TUBE'!$D$4,'PLAIN TUBE'!$E$4)</f>
        <v>50</v>
      </c>
      <c r="G20" s="152">
        <f t="shared" si="2"/>
        <v>374.49525351991605</v>
      </c>
      <c r="H20" s="127">
        <v>1000</v>
      </c>
      <c r="I20" s="153">
        <f t="shared" si="3"/>
        <v>374.49525351991605</v>
      </c>
    </row>
    <row r="21" spans="1:9" ht="15.75" thickBot="1" x14ac:dyDescent="0.3">
      <c r="A21" s="170" t="s">
        <v>188</v>
      </c>
      <c r="B21" s="161">
        <f>ROUND((I21*('PLAIN TUBE'!$G$6/1000)),0)</f>
        <v>419</v>
      </c>
      <c r="C21" s="162">
        <v>0.44</v>
      </c>
      <c r="D21" s="127">
        <v>2.7637</v>
      </c>
      <c r="E21" s="127">
        <v>1.2838000000000001</v>
      </c>
      <c r="F21" s="152">
        <f>IF('PLAIN TUBE'!$F$4="A",'PLAIN TUBE'!$D$4,'PLAIN TUBE'!$E$4)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FINNED TUBE</vt:lpstr>
      <vt:lpstr>PLAIN TUBE</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2024-04-21T12:36:06Z</dcterms:modified>
</cp:coreProperties>
</file>