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DA378DCE-9994-47FE-87A9-C85E539FC888}" xr6:coauthVersionLast="47" xr6:coauthVersionMax="47" xr10:uidLastSave="{00000000-0000-0000-0000-000000000000}"/>
  <workbookProtection workbookAlgorithmName="SHA-512" workbookHashValue="Zt63JWBp8jFjKcXJrd9MQI48R/qv8moYcL4BEvFQv4cz/Jg3CC0WOyV0kCtCP9S7E6S0fVla+GO6iDAcsWisvQ==" workbookSaltValue="6EcxR2pVbs+rmxG25KlfCg==" workbookSpinCount="100000" lockStructure="1"/>
  <bookViews>
    <workbookView xWindow="90" yWindow="60" windowWidth="22530" windowHeight="20820" tabRatio="912" firstSheet="1" activeTab="1" xr2:uid="{D327D7C1-748B-4C6B-A578-75488019F8F7}"/>
  </bookViews>
  <sheets>
    <sheet name="RIBBERØR" sheetId="10" state="hidden" r:id="rId1"/>
    <sheet name="GLATRØR" sheetId="11" r:id="rId2"/>
    <sheet name="SKYLINE" sheetId="1" state="hidden" r:id="rId3"/>
    <sheet name="SKYLINE PLINT" sheetId="12" state="hidden" r:id="rId4"/>
    <sheet name="L-LINE" sheetId="14" state="hidden"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D45" i="15"/>
  <c r="D50" i="15"/>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41" i="15" l="1"/>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<sst xmlns="http://schemas.openxmlformats.org/spreadsheetml/2006/main" count="517" uniqueCount="310">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</sst>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RIBBERØR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Længde: 400 mm. Maks. Længde: 6000 mm. 
Kontakt venligst MEINERTZ for specialstørrelser og specialløsninger.</v>
      </c>
      <c r="C18" s="90"/>
      <c r="G18" s="63"/>
      <c r="L18" s="152"/>
      <c r="M18" s="152"/>
    </row>
    <row r="19" spans="2:26" s="97" customFormat="1" ht="20.100000000000001" customHeight="1" x14ac:dyDescent="0.25">
      <c r="B19" s="97" t="str">
        <f ca="1">OFFSET(SPROG!$B$47,0,SPROG!$B$2)</f>
        <v>Nominel ydelse</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Omregningsfaktor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Aritmetisk</v>
      </c>
      <c r="C2" s="51">
        <v>100</v>
      </c>
      <c r="E2" s="51">
        <v>70</v>
      </c>
    </row>
    <row r="3" spans="1:5" x14ac:dyDescent="0.25">
      <c r="A3" t="str">
        <f ca="1">OFFSET(SPROG!$B$23,0,SPROG!$B$2)</f>
        <v>Logaritmisk</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topLeftCell="A4" workbookViewId="0"/>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1</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GLATRØR</v>
      </c>
    </row>
    <row r="4" spans="2:26" ht="30" customHeight="1" x14ac:dyDescent="0.25">
      <c r="B4" s="67" t="str">
        <f ca="1">OFFSET(SPROG!$B$21,0,SPROG!$B$2)</f>
        <v>Beregningsmetode</v>
      </c>
      <c r="C4" s="34" t="s">
        <v>17</v>
      </c>
      <c r="D4" s="103">
        <f>((C6+D6)/2)-E6</f>
        <v>50</v>
      </c>
      <c r="E4" s="103">
        <f>TRUNC((C6-D6)/LN((C6-E6)/(D6-E6)),2)</f>
        <v>49.83</v>
      </c>
      <c r="F4" s="103" t="str">
        <f>LEFT($C$4,1)</f>
        <v>A</v>
      </c>
      <c r="G4" s="67"/>
    </row>
    <row r="5" spans="2:26" s="112" customFormat="1" ht="2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Konfiguration</v>
      </c>
      <c r="C8" s="69"/>
      <c r="D8" s="69" t="str">
        <f ca="1">OFFSET(SPROG!$B$37,0,SPROG!$B$2)</f>
        <v>Type</v>
      </c>
      <c r="E8" s="69"/>
      <c r="F8" s="69" t="str">
        <f ca="1">OFFSET(SPROG!$B$32,0,SPROG!$B$2)</f>
        <v>Længde - mm</v>
      </c>
      <c r="G8" s="69" t="str">
        <f ca="1">OFFSET(SPROG!$B$31,0,SPROG!$B$2)&amp;G6&amp;" mm"</f>
        <v>Ydelse ved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Længde: 400 mm. Maks. Længde: 6000 mm. 
Kontakt venligst MEINERTZ for specialstørrelser og specialløsninger.</v>
      </c>
      <c r="C16" s="90"/>
      <c r="G16" s="63"/>
      <c r="M16" s="152"/>
      <c r="N16" s="152"/>
    </row>
    <row r="17" spans="2:26" s="97" customFormat="1" ht="20.100000000000001" customHeight="1" x14ac:dyDescent="0.25">
      <c r="B17" s="97" t="str">
        <f ca="1">OFFSET(SPROG!$B$47,0,SPROG!$B$2)</f>
        <v>Nominel ydelse</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Omregningsfaktor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Beregningsmetode</v>
      </c>
      <c r="C4" s="34" t="s">
        <v>17</v>
      </c>
      <c r="D4" s="103">
        <f>((C6+D6)/2)-E6</f>
        <v>50</v>
      </c>
      <c r="E4" s="103">
        <f>TRUNC((C6-D6)/LN((C6-E6)/(D6-E6)),2)</f>
        <v>49.83</v>
      </c>
      <c r="F4" s="103"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v>
      </c>
    </row>
    <row r="4" spans="2:15" ht="30" customHeight="1" x14ac:dyDescent="0.25">
      <c r="B4" s="67" t="str">
        <f ca="1">OFFSET(SPROG!$B$21,0,SPROG!$B$2)</f>
        <v>Beregningsmetode</v>
      </c>
      <c r="C4" s="34" t="s">
        <v>17</v>
      </c>
      <c r="D4" s="103">
        <f>((C6+D6)/2)-E6</f>
        <v>50</v>
      </c>
      <c r="E4" s="103">
        <f>TRUNC((C6-D6)/LN((C6-E6)/(D6-E6)),2)</f>
        <v>49.83</v>
      </c>
      <c r="F4" s="175" t="str">
        <f>LEFT($C$4,1)</f>
        <v>A</v>
      </c>
    </row>
    <row r="5" spans="2:15"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Beregningsmetode</v>
      </c>
      <c r="C4" s="34" t="s">
        <v>17</v>
      </c>
      <c r="D4" s="103">
        <f>((C6+D6)/2)-E6</f>
        <v>50</v>
      </c>
      <c r="E4" s="103">
        <f>TRUNC((C6-D6)/LN((C6-E6)/(D6-E6)),2)</f>
        <v>49.83</v>
      </c>
      <c r="F4" s="177" t="str">
        <f>LEFT($C$4,1)</f>
        <v>A</v>
      </c>
    </row>
    <row r="5" spans="2:16" ht="20.100000000000001" customHeight="1" x14ac:dyDescent="0.25">
      <c r="B5" s="68"/>
      <c r="C5" s="69" t="str">
        <f ca="1">OFFSET(SPROG!$B$28,0,SPROG!$B$2)</f>
        <v>Fremløb (C°)</v>
      </c>
      <c r="D5" s="69" t="str">
        <f ca="1">OFFSET(SPROG!$B$29,0,SPROG!$B$2)</f>
        <v>Retur (C°)</v>
      </c>
      <c r="E5" s="69" t="str">
        <f ca="1">OFFSET(SPROG!$B$30,0,SPROG!$B$2)</f>
        <v>Rum (C°)</v>
      </c>
      <c r="F5" s="69"/>
      <c r="G5" s="69" t="str">
        <f ca="1">OFFSET(SPROG!$B$32,0,SPROG!$B$2)</f>
        <v>Længde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Vandfyldt rør</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Væg</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Længde: 400 mm. Maks. Længde: 6000 mm. 
Kontakt venligst MEINERTZ for specialstørrelser og specialløsninger.</v>
      </c>
      <c r="C25" s="90"/>
      <c r="G25" s="63"/>
    </row>
    <row r="26" spans="1:26" s="97" customFormat="1" ht="20.100000000000001" customHeight="1" x14ac:dyDescent="0.25">
      <c r="B26" s="97" t="str">
        <f ca="1">OFFSET(SPROG!$B$47,0,SPROG!$B$2)</f>
        <v>Nominel ydelse</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Omregningsfaktor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Beregningsmetode</v>
      </c>
      <c r="C4" s="34" t="s">
        <v>16</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Fremløb (C°)</v>
      </c>
      <c r="D5" s="69" t="str">
        <f ca="1">OFFSET(SPROG!$B$29,0,SPROG!$B$2)</f>
        <v>Retur (C°)</v>
      </c>
      <c r="E5" s="69" t="str">
        <f ca="1">OFFSET(SPROG!$B$30,0,SPROG!$B$2)</f>
        <v>Rum (C°)</v>
      </c>
      <c r="F5" s="69" t="str">
        <f ca="1">OFFSET(SPROG!$B$35,0,SPROG!$B$2)</f>
        <v>Stålkassette / Grav dybde</v>
      </c>
      <c r="G5" s="69" t="str">
        <f ca="1">OFFSET(SPROG!$B$32,0,SPROG!$B$2)</f>
        <v>Længde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Vandfyldt rør</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Konvektor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Grav/Stålkassette</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Nominel ydelse</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Omregningsfaktor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Ved ProLine med stålkassette anbefales at beregne en justerings tolerance på min. 10mm ifh. gravdybden.</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G6" sqref="G6"/>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KONVEKTOR / RADIATOR</v>
      </c>
      <c r="C3" s="66"/>
    </row>
    <row r="4" spans="2:26" ht="30" customHeight="1" x14ac:dyDescent="0.25">
      <c r="B4" s="67" t="str">
        <f ca="1">OFFSET(SPROG!$B$21,0,SPROG!$B$2)</f>
        <v>Beregningsmetode</v>
      </c>
      <c r="C4" s="176" t="s">
        <v>17</v>
      </c>
      <c r="D4" s="64">
        <f>((C6+D6)/2)-E6</f>
        <v>50</v>
      </c>
      <c r="E4" s="64"/>
      <c r="F4" s="64" t="str">
        <f>LEFT($C$4,1)</f>
        <v>A</v>
      </c>
    </row>
    <row r="5" spans="2:26" s="70" customFormat="1" ht="20.100000000000001" customHeight="1" x14ac:dyDescent="0.25">
      <c r="B5" s="68"/>
      <c r="C5" s="69" t="str">
        <f ca="1">OFFSET(SPROG!$B$28,0,SPROG!$B$2)</f>
        <v>Fremløb (C°)</v>
      </c>
      <c r="D5" s="69" t="str">
        <f ca="1">OFFSET(SPROG!$B$29,0,SPROG!$B$2)</f>
        <v>Retur (C°)</v>
      </c>
      <c r="E5" s="69" t="str">
        <f ca="1">OFFSET(SPROG!$B$30,0,SPROG!$B$2)</f>
        <v>Rum (C°)</v>
      </c>
      <c r="F5" s="69" t="str">
        <f ca="1">OFFSET(SPROG!$B$33,0,SPROG!$B$2)</f>
        <v>Højde - mm</v>
      </c>
      <c r="G5" s="69" t="str">
        <f ca="1">OFFSET(SPROG!$B$32,0,SPROG!$B$2)</f>
        <v>Længde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Konfiguration</v>
      </c>
      <c r="C8" s="69"/>
      <c r="D8" s="69" t="str">
        <f ca="1">OFFSET(SPROG!$B$37,0,SPROG!$B$2)</f>
        <v>Type</v>
      </c>
      <c r="E8" s="69" t="str">
        <f ca="1">OFFSET(SPROG!$B$34,0,SPROG!$B$2)</f>
        <v>Prod. Bredde</v>
      </c>
      <c r="F8" s="69" t="str">
        <f ca="1">OFFSET(SPROG!$B$32,0,SPROG!$B$2)</f>
        <v>Længde - mm</v>
      </c>
      <c r="G8" s="69" t="str">
        <f ca="1">OFFSET(SPROG!$B$31,0,SPROG!$B$2)&amp;G6&amp;" mm"</f>
        <v>Ydelse ved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MED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MED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MED FRONTPLADE OG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Vandfyldt rør</v>
      </c>
      <c r="E31" s="46"/>
      <c r="F31" s="46"/>
      <c r="G31" s="46"/>
    </row>
    <row r="32" spans="2:26" ht="21" customHeight="1" thickBot="1" x14ac:dyDescent="0.3">
      <c r="B32" s="94"/>
      <c r="C32" s="94"/>
      <c r="D32" s="48" t="str">
        <f ca="1">OFFSET(SPROG!$B$43,0,SPROG!$B$2)</f>
        <v>Frontplade</v>
      </c>
      <c r="E32" s="47"/>
      <c r="F32" s="47"/>
      <c r="G32" s="47"/>
    </row>
    <row r="33" spans="2:26" ht="21" customHeight="1" thickBot="1" x14ac:dyDescent="0.3">
      <c r="B33" s="94"/>
      <c r="C33" s="94"/>
      <c r="D33" s="48" t="str">
        <f ca="1">OFFSET(SPROG!$B$44,0,SPROG!$B$2)</f>
        <v>Rist</v>
      </c>
      <c r="E33" s="47"/>
      <c r="F33" s="47"/>
      <c r="G33" s="47"/>
      <c r="H33" s="122"/>
    </row>
    <row r="34" spans="2:26" ht="21" customHeight="1" x14ac:dyDescent="0.25">
      <c r="B34" s="95"/>
      <c r="C34" s="95"/>
      <c r="D34" s="48" t="str">
        <f ca="1">OFFSET(SPROG!$B$46,0,SPROG!$B$2)</f>
        <v>Væg</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Længde: 400 mm. Maks. Længde: 6000 mm. 
Kontakt venligst MEINERTZ for specialstørrelser og specialløsninger.</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Nominel ydelse</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Omregningsfaktor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IF(RIBBERØR!$F$4="A",RIBBERØR!$D$4,RIBBERØR!$E$4)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IF(RIBBERØR!$F$4="A",RIBBERØR!$D$4,RIBBERØR!$E$4)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IF(RIBBERØR!$F$4="A",RIBBERØR!$D$4,RIBBERØR!$E$4)</f>
        <v>50</v>
      </c>
      <c r="F6" s="152">
        <f t="shared" si="0"/>
        <v>286.44522460565457</v>
      </c>
      <c r="G6" s="127">
        <v>1000</v>
      </c>
      <c r="H6" s="153">
        <f t="shared" si="1"/>
        <v>286.44522460565457</v>
      </c>
    </row>
    <row r="7" spans="1:9" ht="15.75" thickBot="1" x14ac:dyDescent="0.3">
      <c r="A7" s="125"/>
      <c r="B7" s="170" t="s">
        <v>7</v>
      </c>
      <c r="C7" s="127">
        <v>3.2644000000000002</v>
      </c>
      <c r="D7" s="127">
        <v>1.2419</v>
      </c>
      <c r="E7" s="152">
        <f>IF(RIBBERØR!$F$4="A",RIBBERØR!$D$4,RIBBERØR!$E$4)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IF(RIBBERØR!$F$4="A",RIBBERØR!$D$4,RIBBERØR!$E$4)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IF(RIBBERØR!$F$4="A",RIBBERØR!$D$4,RIBBERØR!$E$4)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IF(RIBBERØR!$F$4="A",RIBBERØR!$D$4,RIBBERØR!$E$4)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IF(RIBBERØR!$F$4="A",RIBBERØR!$D$4,RIBBERØR!$E$4)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ROUND((I16*(GLATRØR!$G$6/1000)),0)</f>
        <v>237</v>
      </c>
      <c r="C16" s="162">
        <v>0.33</v>
      </c>
      <c r="D16" s="127">
        <v>2.5486</v>
      </c>
      <c r="E16" s="149">
        <v>1.2787999999999999</v>
      </c>
      <c r="F16" s="152">
        <f>IF(GLATRØR!$F$4="A",GLATRØR!$D$4,GLATRØR!$E$4)</f>
        <v>50</v>
      </c>
      <c r="G16" s="152">
        <f t="shared" ref="G16:G21" si="2">D16*(POWER(F16,E16))</f>
        <v>379.266531833263</v>
      </c>
      <c r="H16" s="127">
        <v>1600</v>
      </c>
      <c r="I16" s="153">
        <f t="shared" ref="I16:I21" si="3">G16/(H16/1000)</f>
        <v>237.04158239578936</v>
      </c>
    </row>
    <row r="17" spans="1:9" ht="15.75" thickBot="1" x14ac:dyDescent="0.3">
      <c r="A17" s="170" t="s">
        <v>184</v>
      </c>
      <c r="B17" s="161">
        <f>ROUND((I17*(GLATRØR!$G$6/1000)),0)</f>
        <v>286</v>
      </c>
      <c r="C17" s="163">
        <v>0.35</v>
      </c>
      <c r="D17" s="127">
        <v>2.0994999999999999</v>
      </c>
      <c r="E17" s="127">
        <v>1.2565999999999999</v>
      </c>
      <c r="F17" s="152">
        <f>IF(GLATRØR!$F$4="A",GLATRØR!$D$4,GLATRØR!$E$4)</f>
        <v>50</v>
      </c>
      <c r="G17" s="152">
        <f t="shared" si="2"/>
        <v>286.44522460565457</v>
      </c>
      <c r="H17" s="127">
        <v>1000</v>
      </c>
      <c r="I17" s="153">
        <f t="shared" si="3"/>
        <v>286.44522460565457</v>
      </c>
    </row>
    <row r="18" spans="1:9" ht="15.75" thickBot="1" x14ac:dyDescent="0.3">
      <c r="A18" s="170" t="s">
        <v>185</v>
      </c>
      <c r="B18" s="161">
        <f>ROUND((I18*(GLATRØR!$G$6/1000)),0)</f>
        <v>300</v>
      </c>
      <c r="C18" s="162">
        <v>0.39</v>
      </c>
      <c r="D18" s="127">
        <v>3.2644000000000002</v>
      </c>
      <c r="E18" s="127">
        <v>1.2419</v>
      </c>
      <c r="F18" s="152">
        <f>IF(GLATRØR!$F$4="A",GLATRØR!$D$4,GLATRØR!$E$4)</f>
        <v>50</v>
      </c>
      <c r="G18" s="152">
        <f t="shared" si="2"/>
        <v>420.48859183886344</v>
      </c>
      <c r="H18" s="127">
        <v>1400</v>
      </c>
      <c r="I18" s="153">
        <f t="shared" si="3"/>
        <v>300.34899417061678</v>
      </c>
    </row>
    <row r="19" spans="1:9" ht="15.75" thickBot="1" x14ac:dyDescent="0.3">
      <c r="A19" s="170" t="s">
        <v>186</v>
      </c>
      <c r="B19" s="161">
        <f>ROUND((I19*(GLATRØR!$G$6/1000)),0)</f>
        <v>324</v>
      </c>
      <c r="C19" s="162">
        <v>0.4</v>
      </c>
      <c r="D19" s="127">
        <v>3.4300999999999999</v>
      </c>
      <c r="E19" s="153">
        <v>1.2490000000000001</v>
      </c>
      <c r="F19" s="152">
        <f>IF(GLATRØR!$F$4="A",GLATRØR!$D$4,GLATRØR!$E$4)</f>
        <v>50</v>
      </c>
      <c r="G19" s="152">
        <f t="shared" si="2"/>
        <v>454.27654795217188</v>
      </c>
      <c r="H19" s="127">
        <v>1400</v>
      </c>
      <c r="I19" s="153">
        <f t="shared" si="3"/>
        <v>324.48324853726564</v>
      </c>
    </row>
    <row r="20" spans="1:9" ht="15.75" thickBot="1" x14ac:dyDescent="0.3">
      <c r="A20" s="170" t="s">
        <v>187</v>
      </c>
      <c r="B20" s="161">
        <f>ROUND((I20*(GLATRØR!$G$6/1000)),0)</f>
        <v>374</v>
      </c>
      <c r="C20" s="162">
        <v>0.42</v>
      </c>
      <c r="D20" s="127">
        <v>3.1674000000000002</v>
      </c>
      <c r="E20" s="153">
        <v>1.22</v>
      </c>
      <c r="F20" s="152">
        <f>IF(GLATRØR!$F$4="A",GLATRØR!$D$4,GLATRØR!$E$4)</f>
        <v>50</v>
      </c>
      <c r="G20" s="152">
        <f t="shared" si="2"/>
        <v>374.49525351991605</v>
      </c>
      <c r="H20" s="127">
        <v>1000</v>
      </c>
      <c r="I20" s="153">
        <f t="shared" si="3"/>
        <v>374.49525351991605</v>
      </c>
    </row>
    <row r="21" spans="1:9" ht="15.75" thickBot="1" x14ac:dyDescent="0.3">
      <c r="A21" s="170" t="s">
        <v>188</v>
      </c>
      <c r="B21" s="161">
        <f>ROUND((I21*(GLATRØR!$G$6/1000)),0)</f>
        <v>419</v>
      </c>
      <c r="C21" s="162">
        <v>0.44</v>
      </c>
      <c r="D21" s="127">
        <v>2.7637</v>
      </c>
      <c r="E21" s="127">
        <v>1.2838000000000001</v>
      </c>
      <c r="F21" s="152">
        <f>IF(GLATRØR!$F$4="A",GLATRØR!$D$4,GLATRØR!$E$4)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RIBBERØR</vt:lpstr>
      <vt:lpstr>GLATRØR</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2024-04-21T12:22:53Z</dcterms:modified>
</cp:coreProperties>
</file>